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showInkAnnotation="0"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https://numisandrejnaratsp-my.sharepoint.com/personal/info_numis_si/Documents/MNZ/"/>
    </mc:Choice>
  </mc:AlternateContent>
  <xr:revisionPtr revIDLastSave="8" documentId="8_{5FB1C4AF-E24B-450B-9AFB-238ACEEFA68A}" xr6:coauthVersionLast="47" xr6:coauthVersionMax="47" xr10:uidLastSave="{AA0B30EC-2DD3-4BE7-AC11-90D2DC7F7AC3}"/>
  <workbookProtection workbookAlgorithmName="SHA-512" workbookHashValue="1O78+ZXhZhJLYihlgKI11ldlVahwnUnlehzb7G+dEXFxdfqW2UMrdGtjzOyjMkZas4KZTCiHiTLHjbttvo2p6w==" workbookSaltValue="GG+XarDFdrYNW5QmBLFdgA==" workbookSpinCount="100000" lockStructure="1"/>
  <bookViews>
    <workbookView xWindow="-103" yWindow="-103" windowWidth="19406" windowHeight="11486" xr2:uid="{00000000-000D-0000-FFFF-FFFF00000000}"/>
  </bookViews>
  <sheets>
    <sheet name="Podatki" sheetId="4" r:id="rId1"/>
    <sheet name="Podjemna pogodba" sheetId="1" r:id="rId2"/>
    <sheet name="Študentsko delo" sheetId="5" r:id="rId3"/>
    <sheet name="Cenik" sheetId="2" state="hidden" r:id="rId4"/>
    <sheet name="Šifranti" sheetId="3" state="hidden" r:id="rId5"/>
    <sheet name="List1" sheetId="6" state="hidden" r:id="rId6"/>
    <sheet name="List2" sheetId="7" state="hidden" r:id="rId7"/>
  </sheets>
  <definedNames>
    <definedName name="dane.">Šifranti!$O$9:$O$10</definedName>
    <definedName name="delo.">Šifranti!$T$2:$T$3</definedName>
    <definedName name="klubi">Šifranti!$B$2:$D$31</definedName>
    <definedName name="klubi.">Šifranti!$B$2:$B$31</definedName>
    <definedName name="lige.">Šifranti!$J$2:$J$12</definedName>
    <definedName name="_xlnm.Print_Area" localSheetId="0">Podatki!$A$1:$D$31</definedName>
    <definedName name="_xlnm.Print_Area" localSheetId="1">'Podjemna pogodba'!$A$1:$D$50</definedName>
    <definedName name="_xlnm.Print_Area" localSheetId="2">'Študentsko delo'!$A$1:$D$37</definedName>
    <definedName name="status.">Šifranti!$M$2:$M$3</definedName>
    <definedName name="uradna.">Šifranti!$P$2:$P$4</definedName>
  </definedNames>
  <calcPr calcId="191029"/>
</workbook>
</file>

<file path=xl/calcChain.xml><?xml version="1.0" encoding="utf-8"?>
<calcChain xmlns="http://schemas.openxmlformats.org/spreadsheetml/2006/main">
  <c r="C22" i="5" l="1"/>
  <c r="C24" i="1"/>
  <c r="C12" i="5"/>
  <c r="C16" i="1"/>
  <c r="C20" i="5" l="1"/>
  <c r="C19" i="5"/>
  <c r="C18" i="5"/>
  <c r="B18" i="5"/>
  <c r="C17" i="5"/>
  <c r="C16" i="5"/>
  <c r="C15" i="5"/>
  <c r="C14" i="5"/>
  <c r="C3" i="5"/>
  <c r="C4" i="5" s="1"/>
  <c r="L2" i="2"/>
  <c r="K2" i="2"/>
  <c r="J2" i="2"/>
  <c r="C5" i="5" l="1"/>
  <c r="J6" i="2" l="1"/>
  <c r="C19" i="1"/>
  <c r="C29" i="1" s="1"/>
  <c r="B11" i="1"/>
  <c r="B20" i="1"/>
  <c r="C43" i="1"/>
  <c r="C41" i="1"/>
  <c r="C40" i="1"/>
  <c r="C20" i="1"/>
  <c r="C22" i="1"/>
  <c r="C21" i="1"/>
  <c r="C3" i="1"/>
  <c r="C4" i="1" s="1"/>
  <c r="C15" i="1"/>
  <c r="C14" i="1"/>
  <c r="C18" i="1"/>
  <c r="C17" i="1"/>
  <c r="C27" i="1" l="1"/>
  <c r="C5" i="1"/>
  <c r="C34" i="1" l="1"/>
  <c r="C30" i="1"/>
  <c r="C35" i="1"/>
  <c r="C28" i="1"/>
  <c r="C30" i="5"/>
  <c r="C25" i="5"/>
  <c r="C28" i="5" l="1"/>
  <c r="C27" i="5"/>
  <c r="C26" i="5"/>
  <c r="C36" i="5" s="1"/>
  <c r="C29" i="5"/>
  <c r="C36" i="1"/>
  <c r="C31" i="1"/>
  <c r="C32" i="1" s="1"/>
  <c r="C33" i="1" s="1"/>
  <c r="C38" i="1" s="1"/>
  <c r="B40" i="1" s="1"/>
  <c r="C31" i="5"/>
  <c r="C32" i="5" l="1"/>
  <c r="C33" i="5"/>
  <c r="C34" i="5" l="1"/>
</calcChain>
</file>

<file path=xl/sharedStrings.xml><?xml version="1.0" encoding="utf-8"?>
<sst xmlns="http://schemas.openxmlformats.org/spreadsheetml/2006/main" count="212" uniqueCount="173">
  <si>
    <t>Izplačevalec:</t>
  </si>
  <si>
    <t>KLUB</t>
  </si>
  <si>
    <t>NASLOV</t>
  </si>
  <si>
    <t>Davčna številka:</t>
  </si>
  <si>
    <t xml:space="preserve">Vrsta dela: </t>
  </si>
  <si>
    <t xml:space="preserve">bruto znesek:  </t>
  </si>
  <si>
    <t>besedilo</t>
  </si>
  <si>
    <t>znesek</t>
  </si>
  <si>
    <t>1. bruto znesek</t>
  </si>
  <si>
    <t>2. normirni stroški 10%</t>
  </si>
  <si>
    <r>
      <t xml:space="preserve">Neto znesek za izplačilo v </t>
    </r>
    <r>
      <rPr>
        <b/>
        <sz val="11"/>
        <rFont val="Calibri"/>
        <family val="2"/>
        <charset val="238"/>
      </rPr>
      <t xml:space="preserve">EUR:   </t>
    </r>
  </si>
  <si>
    <t xml:space="preserve">odprt pri banki: </t>
  </si>
  <si>
    <t xml:space="preserve">datum obračuna: </t>
  </si>
  <si>
    <t xml:space="preserve">podpis: </t>
  </si>
  <si>
    <t>Podpisani pod materialno odgovornostjo jamčim, da držijo navedbe o zavarovanju po 18. čl. ZPIZ-2.</t>
  </si>
  <si>
    <t>Delegat</t>
  </si>
  <si>
    <t>Uradna oseba:</t>
  </si>
  <si>
    <t>OBRAČUN</t>
  </si>
  <si>
    <t>Lige MNZ Celje</t>
  </si>
  <si>
    <t>Ime in priimek:</t>
  </si>
  <si>
    <t>Naslov:</t>
  </si>
  <si>
    <t>Poštna št. - kraj:</t>
  </si>
  <si>
    <t>3000 Celje</t>
  </si>
  <si>
    <t>MČL</t>
  </si>
  <si>
    <t>MML</t>
  </si>
  <si>
    <t>MKL</t>
  </si>
  <si>
    <t>1LSD</t>
  </si>
  <si>
    <t>2LSD</t>
  </si>
  <si>
    <t>1LMD</t>
  </si>
  <si>
    <t>2LMDA</t>
  </si>
  <si>
    <t>2LMDB</t>
  </si>
  <si>
    <t>Vrsta tekme</t>
  </si>
  <si>
    <t>PČL</t>
  </si>
  <si>
    <t>PML</t>
  </si>
  <si>
    <t>TRR:</t>
  </si>
  <si>
    <t>Banka</t>
  </si>
  <si>
    <t>Banka:</t>
  </si>
  <si>
    <t>Status:</t>
  </si>
  <si>
    <t>Tekma:</t>
  </si>
  <si>
    <t>:</t>
  </si>
  <si>
    <t>Zavarovan</t>
  </si>
  <si>
    <t>Nezavarovan</t>
  </si>
  <si>
    <t>Podatki o pogodbeniku:</t>
  </si>
  <si>
    <t>Klub:</t>
  </si>
  <si>
    <t>Podatki o izplačevalcu:</t>
  </si>
  <si>
    <t>Podatki o tekmi:</t>
  </si>
  <si>
    <t>Glavni sodnik</t>
  </si>
  <si>
    <t>Pomočnik sodnika</t>
  </si>
  <si>
    <t>Vrsta dela:</t>
  </si>
  <si>
    <t>Podjemna pogodba</t>
  </si>
  <si>
    <t>Študentsko delo</t>
  </si>
  <si>
    <t>Datum</t>
  </si>
  <si>
    <t xml:space="preserve">Ime in priimek izvajalca: </t>
  </si>
  <si>
    <t xml:space="preserve">Davčna številka izvajalca: </t>
  </si>
  <si>
    <t xml:space="preserve">Naslov izvajalca: </t>
  </si>
  <si>
    <t xml:space="preserve">Zavarovanec po 18. čl. ZPIZ-2: </t>
  </si>
  <si>
    <t xml:space="preserve">Datum tekme: </t>
  </si>
  <si>
    <t>VPISATI JE POTREBNO VSE PODATKE V OSENČENA POLJA!</t>
  </si>
  <si>
    <t>Pomočnik</t>
  </si>
  <si>
    <t>3. prispevek za PIZ 15,50% (od zap.št.  1)</t>
  </si>
  <si>
    <t>4. prispevek za ZZ 6,36% (od zap.št.  1)</t>
  </si>
  <si>
    <t>5. osnova za dohodnino (1-2-3-4)</t>
  </si>
  <si>
    <t>8. prispevek za PIZ 8,85% (od zap.št. 1)</t>
  </si>
  <si>
    <t>9. prispevek - poškodbe 0,53% (od zap.št. 1)</t>
  </si>
  <si>
    <t>10. skupna obremenitev izplačevalca (bruto bruto)</t>
  </si>
  <si>
    <t>6. akontacija dohodnine 25% (od zap.št. 5)</t>
  </si>
  <si>
    <t>7. izplačilo na  račun pogodbenika (1-3-5-6)</t>
  </si>
  <si>
    <t>Podjemne pogodbe - za rezidenta</t>
  </si>
  <si>
    <t>MVL</t>
  </si>
  <si>
    <t>2. prispevek za PIZ 15,50% (od bruto)</t>
  </si>
  <si>
    <t>3. Pris. org. za zdr. za pošk.pri delu 0,53% (od bruto)</t>
  </si>
  <si>
    <t>4. Prispevek organizacije za zdravstvo 6,36% (od bruto)</t>
  </si>
  <si>
    <t>5. Prispevek organizacije za invalidnost 8,85% (od bruto)</t>
  </si>
  <si>
    <t>6. Koncesijska dajatev 16% (od bruto)</t>
  </si>
  <si>
    <t>7. Dodatna koncesijska dajatev 2% (od bruto)</t>
  </si>
  <si>
    <t>8. DDV od koncesijske dajatve in prispevkov 22% (od bruto)</t>
  </si>
  <si>
    <t>9. Strošek delodajalca (brez DDV)</t>
  </si>
  <si>
    <t xml:space="preserve">bruto znesek na napotnici:  </t>
  </si>
  <si>
    <r>
      <t>Neto znesek na napotnici</t>
    </r>
    <r>
      <rPr>
        <b/>
        <sz val="11"/>
        <rFont val="Calibri"/>
        <family val="2"/>
        <charset val="238"/>
      </rPr>
      <t xml:space="preserve">:   </t>
    </r>
  </si>
  <si>
    <t>Posebnosti:</t>
  </si>
  <si>
    <t>Neprihod delegata +40% delegatske takse:</t>
  </si>
  <si>
    <t>Tekma se ni pričela (75%):</t>
  </si>
  <si>
    <t>DA</t>
  </si>
  <si>
    <t>NE</t>
  </si>
  <si>
    <t>KLUBI</t>
  </si>
  <si>
    <t>LIGE</t>
  </si>
  <si>
    <t>VRSTA</t>
  </si>
  <si>
    <t>Uradna oseba</t>
  </si>
  <si>
    <t>Izplačilo</t>
  </si>
  <si>
    <t xml:space="preserve">Bruto stroški uradnih oseb (bruto-bruto) </t>
  </si>
  <si>
    <t>Cesta na jezero 7, 3320 Velenje</t>
  </si>
  <si>
    <t>Opekarniška cesta 15a, 3000 Celje</t>
  </si>
  <si>
    <t>ND Dravinja</t>
  </si>
  <si>
    <t>Dobrava pri Konjicah 2, 3210 Slovenske Konjice</t>
  </si>
  <si>
    <t>Log 3, 1430 Hrastnik</t>
  </si>
  <si>
    <t>Vransko 24, 3305 Vransko</t>
  </si>
  <si>
    <t>Šolska pot 7, 1433 Radeče</t>
  </si>
  <si>
    <t>ŠD Kovinar Štore</t>
  </si>
  <si>
    <t>Udarniška 10, 3220 Štore</t>
  </si>
  <si>
    <t>Šolska cesta 3, 3214 Zreče</t>
  </si>
  <si>
    <t>Metleče 3, 3325 Šoštanj</t>
  </si>
  <si>
    <t>Cesta krških žrtev 130a, 8270 Krško</t>
  </si>
  <si>
    <t>KNK Odred Kozje</t>
  </si>
  <si>
    <t>Kozje 132, 3260 Kozje</t>
  </si>
  <si>
    <t>Kolodvorska ulica 11, 3240 Šmarje pri Jelšah</t>
  </si>
  <si>
    <t>Aškerčeva 15, 3310 Žalec</t>
  </si>
  <si>
    <t>Huda jama 1, 3270 Laško</t>
  </si>
  <si>
    <t>Ptujska cesta 30, 3252 Rogatec</t>
  </si>
  <si>
    <t>Cesta v Rastke 12, 3333 Ljubno ob Savinji</t>
  </si>
  <si>
    <t>Sotelska cesta 55, 3250 Rogaška Slatina</t>
  </si>
  <si>
    <t>Prušnikova ulica 12, 3212 Vojnik</t>
  </si>
  <si>
    <t>Cesta Miloša Zidanška 28, 3230 Šentjur</t>
  </si>
  <si>
    <t>ŠD Šmartno ob Paki</t>
  </si>
  <si>
    <t>Šmartno ob Paki 117, 3327 Šmartno ob Paki</t>
  </si>
  <si>
    <t>ND Mozirje</t>
  </si>
  <si>
    <t>Imeno 35, 3254 Podčetrtek</t>
  </si>
  <si>
    <t>ND Polzela</t>
  </si>
  <si>
    <t>Pod gradom 9, 3313 Polzela</t>
  </si>
  <si>
    <t>Brežice 1919</t>
  </si>
  <si>
    <t>Cesta bratov Milavcev 18, 8250 Brežice</t>
  </si>
  <si>
    <t>Janez Vzorec</t>
  </si>
  <si>
    <t>Janezova ulica 1</t>
  </si>
  <si>
    <t>SI56 1234 5678 9012 345</t>
  </si>
  <si>
    <t>OBRAČUN NADOMESTILA URADNE OSEBE</t>
  </si>
  <si>
    <t>Ekipa 1</t>
  </si>
  <si>
    <t>Ekipa 2</t>
  </si>
  <si>
    <t>Vezana tekma (70%)</t>
  </si>
  <si>
    <t>EMŠO:</t>
  </si>
  <si>
    <t xml:space="preserve">EMŠO: </t>
  </si>
  <si>
    <t>1234567890123</t>
  </si>
  <si>
    <t>ND Posavje Krško</t>
  </si>
  <si>
    <t>SI11033550</t>
  </si>
  <si>
    <t>MNZ Celje</t>
  </si>
  <si>
    <t>Ulica XIV. Divizije 14, 3000 Celje</t>
  </si>
  <si>
    <t>2LMDC</t>
  </si>
  <si>
    <t>Kidričeva ulica 13, 3000 Celje</t>
  </si>
  <si>
    <t>Cesta krških žrtev 105, 8270 Krško</t>
  </si>
  <si>
    <t>ŽNK Savinja</t>
  </si>
  <si>
    <t>Teharje 39, 3221 Teharje</t>
  </si>
  <si>
    <t>NK Krško</t>
  </si>
  <si>
    <t>ŽNK Šentjur</t>
  </si>
  <si>
    <t>Šibenik 38, 3230 Šentjur</t>
  </si>
  <si>
    <t>ŠD Partizan Prebold</t>
  </si>
  <si>
    <t>Na bazen 6, 3312 Prebold</t>
  </si>
  <si>
    <t>Cesta v Loke 5, 3330 Mozirje</t>
  </si>
  <si>
    <t>Študentski servis:</t>
  </si>
  <si>
    <t>Agado</t>
  </si>
  <si>
    <t>NK Šentjur</t>
  </si>
  <si>
    <t>NK Rudar Velenje</t>
  </si>
  <si>
    <t>NK Celje</t>
  </si>
  <si>
    <t>NK Hrastnik</t>
  </si>
  <si>
    <t>NK Vransko</t>
  </si>
  <si>
    <t>NK Radeče</t>
  </si>
  <si>
    <t>NK Zreče</t>
  </si>
  <si>
    <t>NK Šoštanj</t>
  </si>
  <si>
    <t>NK Žalec</t>
  </si>
  <si>
    <t>NK Laško</t>
  </si>
  <si>
    <t>NK Mons Claudius Rogatec</t>
  </si>
  <si>
    <t>NK Ljubno ob Savinji</t>
  </si>
  <si>
    <t>NK Rogaška</t>
  </si>
  <si>
    <t>NK Vojnik</t>
  </si>
  <si>
    <t>NK Šampion</t>
  </si>
  <si>
    <t>NK Imeno</t>
  </si>
  <si>
    <t>SI12886068</t>
  </si>
  <si>
    <t>SI29963621</t>
  </si>
  <si>
    <t>SI30733294</t>
  </si>
  <si>
    <t>SI32148933</t>
  </si>
  <si>
    <t>SI77437984</t>
  </si>
  <si>
    <t>NK Šmarje pri Jelšah</t>
  </si>
  <si>
    <t>SI81087357</t>
  </si>
  <si>
    <t>SI83407804</t>
  </si>
  <si>
    <t>SI81329865</t>
  </si>
  <si>
    <t>Verzija: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</si>
</sst>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dd/mm/yyyy;@"/>
    <numFmt numFmtId="166" formatCode="#,##0.00_ ;\-#,##0.00\ "/>
    <numFmt numFmtId="167" formatCode="_-* #,##0.00\ _S_I_T_-;\-* #,##0.00\ _S_I_T_-;_-* &quot;-&quot;??\ _S_I_T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3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right" vertical="center"/>
    </xf>
    <xf numFmtId="166" fontId="4" fillId="4" borderId="8" xfId="1" applyNumberFormat="1" applyFont="1" applyFill="1" applyBorder="1" applyAlignment="1" applyProtection="1">
      <alignment horizontal="right" vertical="center"/>
    </xf>
    <xf numFmtId="0" fontId="5" fillId="0" borderId="0" xfId="0" applyFont="1"/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3" fillId="0" borderId="0" xfId="0" applyFont="1"/>
    <xf numFmtId="0" fontId="5" fillId="4" borderId="11" xfId="0" applyFont="1" applyFill="1" applyBorder="1" applyAlignment="1">
      <alignment horizontal="left" wrapText="1"/>
    </xf>
    <xf numFmtId="4" fontId="5" fillId="4" borderId="12" xfId="1" applyNumberFormat="1" applyFont="1" applyFill="1" applyBorder="1" applyAlignment="1" applyProtection="1">
      <alignment horizontal="right" wrapText="1"/>
    </xf>
    <xf numFmtId="0" fontId="5" fillId="4" borderId="11" xfId="0" applyFont="1" applyFill="1" applyBorder="1" applyAlignment="1">
      <alignment wrapText="1"/>
    </xf>
    <xf numFmtId="0" fontId="5" fillId="4" borderId="13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 applyProtection="1">
      <alignment wrapText="1"/>
      <protection hidden="1"/>
    </xf>
    <xf numFmtId="0" fontId="10" fillId="0" borderId="0" xfId="0" applyFont="1" applyProtection="1">
      <protection hidden="1"/>
    </xf>
    <xf numFmtId="166" fontId="4" fillId="4" borderId="8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 applyProtection="1">
      <alignment wrapText="1"/>
      <protection hidden="1"/>
    </xf>
    <xf numFmtId="0" fontId="12" fillId="0" borderId="0" xfId="0" applyFont="1" applyProtection="1">
      <protection hidden="1"/>
    </xf>
    <xf numFmtId="0" fontId="5" fillId="0" borderId="0" xfId="0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49" fontId="3" fillId="0" borderId="0" xfId="0" applyNumberFormat="1" applyFont="1" applyProtection="1">
      <protection hidden="1"/>
    </xf>
    <xf numFmtId="0" fontId="0" fillId="7" borderId="0" xfId="0" applyFill="1"/>
    <xf numFmtId="0" fontId="0" fillId="7" borderId="17" xfId="0" applyFill="1" applyBorder="1"/>
    <xf numFmtId="2" fontId="0" fillId="7" borderId="17" xfId="0" applyNumberFormat="1" applyFill="1" applyBorder="1"/>
    <xf numFmtId="0" fontId="16" fillId="7" borderId="0" xfId="0" applyFont="1" applyFill="1"/>
    <xf numFmtId="0" fontId="16" fillId="0" borderId="0" xfId="0" applyFont="1"/>
    <xf numFmtId="4" fontId="4" fillId="4" borderId="14" xfId="1" applyNumberFormat="1" applyFont="1" applyFill="1" applyBorder="1" applyAlignment="1" applyProtection="1">
      <alignment horizontal="right" wrapText="1"/>
    </xf>
    <xf numFmtId="0" fontId="5" fillId="4" borderId="21" xfId="0" applyFont="1" applyFill="1" applyBorder="1" applyAlignment="1">
      <alignment wrapText="1"/>
    </xf>
    <xf numFmtId="4" fontId="5" fillId="4" borderId="22" xfId="1" applyNumberFormat="1" applyFont="1" applyFill="1" applyBorder="1" applyAlignment="1" applyProtection="1">
      <alignment horizontal="right" wrapText="1"/>
    </xf>
    <xf numFmtId="0" fontId="5" fillId="7" borderId="0" xfId="0" applyFont="1" applyFill="1" applyAlignment="1" applyProtection="1">
      <alignment horizontal="right"/>
      <protection hidden="1"/>
    </xf>
    <xf numFmtId="0" fontId="5" fillId="7" borderId="0" xfId="0" applyFont="1" applyFill="1" applyAlignment="1" applyProtection="1">
      <alignment horizontal="right" wrapText="1"/>
      <protection hidden="1"/>
    </xf>
    <xf numFmtId="167" fontId="4" fillId="7" borderId="0" xfId="2" applyFont="1" applyFill="1" applyBorder="1" applyAlignment="1" applyProtection="1">
      <alignment horizontal="right" wrapText="1"/>
      <protection hidden="1"/>
    </xf>
    <xf numFmtId="0" fontId="5" fillId="7" borderId="0" xfId="0" applyFont="1" applyFill="1" applyAlignment="1" applyProtection="1">
      <alignment wrapText="1"/>
      <protection hidden="1"/>
    </xf>
    <xf numFmtId="0" fontId="5" fillId="7" borderId="0" xfId="0" applyFont="1" applyFill="1" applyProtection="1"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7" borderId="0" xfId="0" applyFont="1" applyFill="1" applyProtection="1">
      <protection hidden="1"/>
    </xf>
    <xf numFmtId="0" fontId="0" fillId="5" borderId="17" xfId="0" applyFill="1" applyBorder="1" applyProtection="1">
      <protection locked="0"/>
    </xf>
    <xf numFmtId="14" fontId="0" fillId="5" borderId="20" xfId="0" applyNumberFormat="1" applyFill="1" applyBorder="1" applyAlignment="1" applyProtection="1">
      <alignment horizontal="left"/>
      <protection locked="0"/>
    </xf>
    <xf numFmtId="0" fontId="2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/>
      <protection hidden="1"/>
    </xf>
    <xf numFmtId="0" fontId="9" fillId="7" borderId="0" xfId="0" applyFont="1" applyFill="1" applyAlignment="1" applyProtection="1">
      <alignment horizontal="center"/>
      <protection hidden="1"/>
    </xf>
    <xf numFmtId="0" fontId="4" fillId="7" borderId="0" xfId="0" applyFont="1" applyFill="1" applyAlignment="1" applyProtection="1">
      <alignment horizontal="center"/>
      <protection hidden="1"/>
    </xf>
    <xf numFmtId="0" fontId="5" fillId="7" borderId="0" xfId="0" applyFont="1" applyFill="1"/>
    <xf numFmtId="0" fontId="3" fillId="7" borderId="0" xfId="0" applyFont="1" applyFill="1"/>
    <xf numFmtId="0" fontId="5" fillId="7" borderId="0" xfId="0" applyFont="1" applyFill="1" applyAlignment="1">
      <alignment wrapText="1"/>
    </xf>
    <xf numFmtId="0" fontId="12" fillId="7" borderId="0" xfId="0" applyFont="1" applyFill="1"/>
    <xf numFmtId="0" fontId="5" fillId="7" borderId="0" xfId="0" applyFont="1" applyFill="1" applyAlignment="1">
      <alignment horizontal="right" vertical="center"/>
    </xf>
    <xf numFmtId="166" fontId="4" fillId="7" borderId="0" xfId="0" applyNumberFormat="1" applyFont="1" applyFill="1" applyAlignment="1">
      <alignment horizontal="right" vertical="center"/>
    </xf>
    <xf numFmtId="0" fontId="12" fillId="7" borderId="0" xfId="0" applyFont="1" applyFill="1" applyAlignment="1" applyProtection="1">
      <alignment wrapText="1"/>
      <protection hidden="1"/>
    </xf>
    <xf numFmtId="0" fontId="12" fillId="7" borderId="0" xfId="0" applyFont="1" applyFill="1" applyProtection="1">
      <protection hidden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7" fontId="14" fillId="2" borderId="0" xfId="2" applyFont="1" applyFill="1" applyBorder="1" applyAlignment="1" applyProtection="1"/>
    <xf numFmtId="0" fontId="1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14" fontId="14" fillId="2" borderId="0" xfId="0" applyNumberFormat="1" applyFont="1" applyFill="1" applyAlignment="1">
      <alignment horizontal="left"/>
    </xf>
    <xf numFmtId="167" fontId="14" fillId="7" borderId="0" xfId="2" applyFont="1" applyFill="1" applyBorder="1" applyAlignment="1" applyProtection="1"/>
    <xf numFmtId="0" fontId="12" fillId="7" borderId="0" xfId="0" applyFont="1" applyFill="1" applyAlignment="1">
      <alignment wrapText="1"/>
    </xf>
    <xf numFmtId="14" fontId="14" fillId="7" borderId="0" xfId="0" applyNumberFormat="1" applyFont="1" applyFill="1" applyAlignment="1">
      <alignment horizontal="left"/>
    </xf>
    <xf numFmtId="0" fontId="20" fillId="0" borderId="0" xfId="0" applyFont="1"/>
    <xf numFmtId="0" fontId="21" fillId="0" borderId="0" xfId="0" applyFont="1"/>
    <xf numFmtId="0" fontId="20" fillId="0" borderId="17" xfId="0" applyFont="1" applyBorder="1"/>
    <xf numFmtId="0" fontId="0" fillId="5" borderId="17" xfId="0" applyFill="1" applyBorder="1" applyAlignment="1" applyProtection="1">
      <alignment horizontal="left"/>
      <protection locked="0"/>
    </xf>
    <xf numFmtId="0" fontId="0" fillId="0" borderId="17" xfId="0" applyBorder="1"/>
    <xf numFmtId="0" fontId="15" fillId="7" borderId="0" xfId="0" applyFont="1" applyFill="1" applyAlignment="1">
      <alignment vertical="center"/>
    </xf>
    <xf numFmtId="0" fontId="0" fillId="0" borderId="20" xfId="0" applyBorder="1"/>
    <xf numFmtId="0" fontId="0" fillId="0" borderId="19" xfId="0" applyBorder="1"/>
    <xf numFmtId="0" fontId="0" fillId="7" borderId="0" xfId="0" applyFill="1" applyAlignment="1">
      <alignment wrapText="1"/>
    </xf>
    <xf numFmtId="0" fontId="18" fillId="7" borderId="0" xfId="0" applyFont="1" applyFill="1"/>
    <xf numFmtId="0" fontId="0" fillId="7" borderId="0" xfId="0" applyFill="1" applyProtection="1">
      <protection locked="0"/>
    </xf>
    <xf numFmtId="0" fontId="8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5" fillId="7" borderId="0" xfId="0" applyFont="1" applyFill="1" applyAlignment="1">
      <alignment horizontal="right"/>
    </xf>
    <xf numFmtId="0" fontId="10" fillId="7" borderId="0" xfId="0" applyFont="1" applyFill="1"/>
    <xf numFmtId="0" fontId="5" fillId="7" borderId="0" xfId="0" applyFont="1" applyFill="1" applyAlignment="1">
      <alignment horizontal="right" wrapText="1"/>
    </xf>
    <xf numFmtId="167" fontId="4" fillId="7" borderId="0" xfId="2" applyFont="1" applyFill="1" applyBorder="1" applyAlignment="1" applyProtection="1">
      <alignment horizontal="right" wrapText="1"/>
    </xf>
    <xf numFmtId="0" fontId="5" fillId="7" borderId="0" xfId="0" applyFont="1" applyFill="1" applyAlignment="1">
      <alignment horizontal="left"/>
    </xf>
    <xf numFmtId="0" fontId="5" fillId="2" borderId="0" xfId="0" applyFont="1" applyFill="1"/>
    <xf numFmtId="49" fontId="3" fillId="0" borderId="0" xfId="0" applyNumberFormat="1" applyFont="1"/>
    <xf numFmtId="0" fontId="2" fillId="7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7" borderId="0" xfId="0" applyFont="1" applyFill="1" applyAlignment="1">
      <alignment vertical="center"/>
    </xf>
    <xf numFmtId="0" fontId="10" fillId="0" borderId="0" xfId="0" applyFont="1"/>
    <xf numFmtId="0" fontId="4" fillId="2" borderId="0" xfId="0" applyFont="1" applyFill="1" applyAlignment="1">
      <alignment horizontal="left" shrinkToFit="1"/>
    </xf>
    <xf numFmtId="49" fontId="0" fillId="5" borderId="17" xfId="0" applyNumberFormat="1" applyFill="1" applyBorder="1" applyProtection="1">
      <protection locked="0"/>
    </xf>
    <xf numFmtId="0" fontId="22" fillId="0" borderId="18" xfId="0" applyFont="1" applyBorder="1"/>
    <xf numFmtId="49" fontId="22" fillId="5" borderId="17" xfId="0" applyNumberFormat="1" applyFont="1" applyFill="1" applyBorder="1" applyProtection="1">
      <protection locked="0"/>
    </xf>
    <xf numFmtId="0" fontId="23" fillId="7" borderId="0" xfId="0" applyFont="1" applyFill="1" applyAlignment="1">
      <alignment horizontal="right"/>
    </xf>
    <xf numFmtId="49" fontId="23" fillId="7" borderId="0" xfId="0" applyNumberFormat="1" applyFont="1" applyFill="1" applyAlignment="1">
      <alignment horizontal="left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right" vertical="center" wrapText="1"/>
    </xf>
    <xf numFmtId="0" fontId="15" fillId="6" borderId="7" xfId="0" applyFont="1" applyFill="1" applyBorder="1" applyAlignment="1">
      <alignment vertical="center"/>
    </xf>
    <xf numFmtId="0" fontId="15" fillId="6" borderId="8" xfId="0" applyFont="1" applyFill="1" applyBorder="1" applyAlignment="1">
      <alignment vertical="center"/>
    </xf>
    <xf numFmtId="0" fontId="17" fillId="7" borderId="0" xfId="0" applyFont="1" applyFill="1" applyAlignment="1">
      <alignment vertical="center"/>
    </xf>
    <xf numFmtId="0" fontId="0" fillId="6" borderId="8" xfId="0" applyFill="1" applyBorder="1"/>
    <xf numFmtId="0" fontId="0" fillId="0" borderId="18" xfId="0" applyBorder="1"/>
    <xf numFmtId="14" fontId="4" fillId="2" borderId="0" xfId="0" applyNumberFormat="1" applyFont="1" applyFill="1" applyAlignment="1">
      <alignment horizontal="left" shrinkToFit="1"/>
    </xf>
    <xf numFmtId="165" fontId="4" fillId="2" borderId="0" xfId="0" applyNumberFormat="1" applyFont="1" applyFill="1" applyAlignment="1">
      <alignment horizontal="left" shrinkToFit="1"/>
    </xf>
    <xf numFmtId="0" fontId="7" fillId="3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 shrinkToFi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left" shrinkToFit="1"/>
    </xf>
    <xf numFmtId="0" fontId="3" fillId="7" borderId="0" xfId="0" applyFont="1" applyFill="1" applyAlignment="1" applyProtection="1">
      <alignment horizontal="left"/>
      <protection hidden="1"/>
    </xf>
    <xf numFmtId="0" fontId="6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3" fillId="7" borderId="0" xfId="0" applyFont="1" applyFill="1" applyAlignment="1">
      <alignment horizontal="left"/>
    </xf>
    <xf numFmtId="0" fontId="19" fillId="7" borderId="5" xfId="0" applyFont="1" applyFill="1" applyBorder="1" applyAlignment="1">
      <alignment vertical="center"/>
    </xf>
  </cellXfs>
  <cellStyles count="3">
    <cellStyle name="Navadno" xfId="0" builtinId="0"/>
    <cellStyle name="Vejica" xfId="1" builtinId="3"/>
    <cellStyle name="Vejica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171450</xdr:rowOff>
    </xdr:from>
    <xdr:to>
      <xdr:col>0</xdr:col>
      <xdr:colOff>895350</xdr:colOff>
      <xdr:row>0</xdr:row>
      <xdr:rowOff>983053</xdr:rowOff>
    </xdr:to>
    <xdr:pic>
      <xdr:nvPicPr>
        <xdr:cNvPr id="2" name="Slika 1" descr="MNZ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71450"/>
          <a:ext cx="800100" cy="81160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31"/>
  <sheetViews>
    <sheetView tabSelected="1" topLeftCell="A7" zoomScale="80" zoomScaleNormal="80" workbookViewId="0">
      <selection activeCell="B15" sqref="B15"/>
    </sheetView>
  </sheetViews>
  <sheetFormatPr defaultColWidth="0" defaultRowHeight="14.6" zeroHeight="1" x14ac:dyDescent="0.4"/>
  <cols>
    <col min="1" max="1" width="25.53515625" customWidth="1"/>
    <col min="2" max="2" width="36" customWidth="1"/>
    <col min="3" max="3" width="2.15234375" customWidth="1"/>
    <col min="4" max="4" width="38.69140625" customWidth="1"/>
    <col min="5" max="16384" width="9.15234375" hidden="1"/>
  </cols>
  <sheetData>
    <row r="1" spans="1:4" ht="89.25" customHeight="1" x14ac:dyDescent="0.4">
      <c r="A1" s="29"/>
      <c r="B1" s="103" t="s">
        <v>123</v>
      </c>
      <c r="C1" s="103"/>
      <c r="D1" s="103"/>
    </row>
    <row r="2" spans="1:4" ht="28.5" customHeight="1" x14ac:dyDescent="0.4">
      <c r="A2" s="101" t="s">
        <v>42</v>
      </c>
      <c r="B2" s="104"/>
      <c r="C2" s="29"/>
      <c r="D2" s="29"/>
    </row>
    <row r="3" spans="1:4" x14ac:dyDescent="0.4">
      <c r="A3" s="72" t="s">
        <v>19</v>
      </c>
      <c r="B3" s="44" t="s">
        <v>120</v>
      </c>
      <c r="C3" s="29"/>
      <c r="D3" s="29"/>
    </row>
    <row r="4" spans="1:4" x14ac:dyDescent="0.4">
      <c r="A4" s="72" t="s">
        <v>20</v>
      </c>
      <c r="B4" s="44" t="s">
        <v>121</v>
      </c>
      <c r="C4" s="29"/>
      <c r="D4" s="29"/>
    </row>
    <row r="5" spans="1:4" x14ac:dyDescent="0.4">
      <c r="A5" s="72" t="s">
        <v>21</v>
      </c>
      <c r="B5" s="44" t="s">
        <v>22</v>
      </c>
      <c r="C5" s="29"/>
      <c r="D5" s="29"/>
    </row>
    <row r="6" spans="1:4" x14ac:dyDescent="0.4">
      <c r="A6" s="72" t="s">
        <v>3</v>
      </c>
      <c r="B6" s="71">
        <v>12345678</v>
      </c>
      <c r="C6" s="29"/>
      <c r="D6" s="29"/>
    </row>
    <row r="7" spans="1:4" x14ac:dyDescent="0.4">
      <c r="A7" s="72" t="s">
        <v>34</v>
      </c>
      <c r="B7" s="44" t="s">
        <v>122</v>
      </c>
      <c r="C7" s="29"/>
      <c r="D7" s="29"/>
    </row>
    <row r="8" spans="1:4" x14ac:dyDescent="0.4">
      <c r="A8" s="72" t="s">
        <v>127</v>
      </c>
      <c r="B8" s="94" t="s">
        <v>129</v>
      </c>
      <c r="C8" s="29"/>
      <c r="D8" s="29"/>
    </row>
    <row r="9" spans="1:4" x14ac:dyDescent="0.4">
      <c r="A9" s="72" t="s">
        <v>36</v>
      </c>
      <c r="B9" s="44" t="s">
        <v>35</v>
      </c>
      <c r="C9" s="29"/>
      <c r="D9" s="29"/>
    </row>
    <row r="10" spans="1:4" x14ac:dyDescent="0.4">
      <c r="A10" s="72" t="s">
        <v>48</v>
      </c>
      <c r="B10" s="44" t="s">
        <v>49</v>
      </c>
      <c r="C10" s="29"/>
      <c r="D10" s="29"/>
    </row>
    <row r="11" spans="1:4" x14ac:dyDescent="0.4">
      <c r="A11" s="72" t="s">
        <v>37</v>
      </c>
      <c r="B11" s="44" t="s">
        <v>40</v>
      </c>
      <c r="C11" s="29"/>
      <c r="D11" s="29"/>
    </row>
    <row r="12" spans="1:4" x14ac:dyDescent="0.4">
      <c r="A12" s="95" t="s">
        <v>145</v>
      </c>
      <c r="B12" s="96" t="s">
        <v>146</v>
      </c>
      <c r="C12" s="29"/>
      <c r="D12" s="29"/>
    </row>
    <row r="13" spans="1:4" ht="31.5" customHeight="1" x14ac:dyDescent="0.4">
      <c r="A13" s="105"/>
      <c r="B13" s="105"/>
      <c r="C13" s="29"/>
      <c r="D13" s="29"/>
    </row>
    <row r="14" spans="1:4" ht="27.75" customHeight="1" x14ac:dyDescent="0.4">
      <c r="A14" s="101" t="s">
        <v>44</v>
      </c>
      <c r="B14" s="104"/>
      <c r="C14" s="29"/>
      <c r="D14" s="29"/>
    </row>
    <row r="15" spans="1:4" x14ac:dyDescent="0.4">
      <c r="A15" s="72" t="s">
        <v>43</v>
      </c>
      <c r="B15" s="44" t="s">
        <v>149</v>
      </c>
      <c r="C15" s="29"/>
      <c r="D15" s="29"/>
    </row>
    <row r="16" spans="1:4" ht="30.75" customHeight="1" x14ac:dyDescent="0.4">
      <c r="A16" s="105"/>
      <c r="B16" s="105"/>
      <c r="C16" s="29"/>
      <c r="D16" s="29"/>
    </row>
    <row r="17" spans="1:4" ht="24" customHeight="1" x14ac:dyDescent="0.4">
      <c r="A17" s="101" t="s">
        <v>45</v>
      </c>
      <c r="B17" s="102"/>
      <c r="C17" s="73"/>
      <c r="D17" s="73"/>
    </row>
    <row r="18" spans="1:4" x14ac:dyDescent="0.4">
      <c r="A18" s="72" t="s">
        <v>31</v>
      </c>
      <c r="B18" s="44" t="s">
        <v>23</v>
      </c>
      <c r="C18" s="29"/>
      <c r="D18" s="29"/>
    </row>
    <row r="19" spans="1:4" x14ac:dyDescent="0.4">
      <c r="A19" s="74" t="s">
        <v>51</v>
      </c>
      <c r="B19" s="45">
        <v>42462</v>
      </c>
      <c r="C19" s="29"/>
      <c r="D19" s="29"/>
    </row>
    <row r="20" spans="1:4" x14ac:dyDescent="0.4">
      <c r="A20" s="72" t="s">
        <v>38</v>
      </c>
      <c r="B20" s="44" t="s">
        <v>124</v>
      </c>
      <c r="C20" s="72" t="s">
        <v>39</v>
      </c>
      <c r="D20" s="44" t="s">
        <v>125</v>
      </c>
    </row>
    <row r="21" spans="1:4" x14ac:dyDescent="0.4">
      <c r="A21" s="75" t="s">
        <v>16</v>
      </c>
      <c r="B21" s="44" t="s">
        <v>46</v>
      </c>
      <c r="C21" s="29"/>
      <c r="D21" s="29"/>
    </row>
    <row r="22" spans="1:4" x14ac:dyDescent="0.4">
      <c r="A22" s="29"/>
      <c r="B22" s="29"/>
      <c r="C22" s="29"/>
      <c r="D22" s="29"/>
    </row>
    <row r="23" spans="1:4" ht="25.5" customHeight="1" x14ac:dyDescent="0.4">
      <c r="A23" s="101" t="s">
        <v>79</v>
      </c>
      <c r="B23" s="102"/>
      <c r="C23" s="29"/>
      <c r="D23" s="29"/>
    </row>
    <row r="24" spans="1:4" ht="20.25" customHeight="1" x14ac:dyDescent="0.4">
      <c r="A24" s="29" t="s">
        <v>81</v>
      </c>
      <c r="B24" s="78" t="s">
        <v>83</v>
      </c>
      <c r="C24" s="29"/>
      <c r="D24" s="29"/>
    </row>
    <row r="25" spans="1:4" ht="26.25" customHeight="1" x14ac:dyDescent="0.4">
      <c r="A25" s="76" t="s">
        <v>80</v>
      </c>
      <c r="B25" s="78" t="s">
        <v>83</v>
      </c>
      <c r="C25" s="29"/>
      <c r="D25" s="29"/>
    </row>
    <row r="26" spans="1:4" ht="17.25" customHeight="1" x14ac:dyDescent="0.4">
      <c r="A26" s="29" t="s">
        <v>126</v>
      </c>
      <c r="B26" s="78" t="s">
        <v>83</v>
      </c>
      <c r="C26" s="29"/>
      <c r="D26" s="29"/>
    </row>
    <row r="27" spans="1:4" ht="15.9" x14ac:dyDescent="0.45">
      <c r="A27" s="77" t="s">
        <v>57</v>
      </c>
      <c r="B27" s="77"/>
      <c r="C27" s="29"/>
      <c r="D27" s="29"/>
    </row>
    <row r="28" spans="1:4" ht="17.25" customHeight="1" x14ac:dyDescent="0.4">
      <c r="A28" s="29"/>
      <c r="B28" s="29"/>
      <c r="C28" s="29"/>
      <c r="D28" s="29"/>
    </row>
    <row r="29" spans="1:4" ht="12" customHeight="1" x14ac:dyDescent="0.4">
      <c r="A29" s="29"/>
      <c r="B29" s="29"/>
      <c r="C29" s="29"/>
      <c r="D29" s="29"/>
    </row>
    <row r="30" spans="1:4" ht="14.25" customHeight="1" x14ac:dyDescent="0.4">
      <c r="A30" s="29"/>
      <c r="B30" s="29"/>
      <c r="C30" s="29"/>
      <c r="D30" s="29"/>
    </row>
    <row r="31" spans="1:4" ht="12.75" customHeight="1" x14ac:dyDescent="0.4">
      <c r="A31" s="29" t="s">
        <v>172</v>
      </c>
      <c r="B31" s="29"/>
      <c r="C31" s="29"/>
      <c r="D31" s="29"/>
    </row>
  </sheetData>
  <sheetProtection algorithmName="SHA-512" hashValue="/luCAH8e/ZYUqOLViUMjQl/gi/8pCq+x+VP59WwDLiaZmEPOfKHSuFWbBmJmpCoUrb0rGf9lW7PN0vkkk5bTEQ==" saltValue="YlbtILu+cB+CUag5JyW3tQ==" spinCount="100000" sheet="1" selectLockedCells="1"/>
  <mergeCells count="7">
    <mergeCell ref="A23:B23"/>
    <mergeCell ref="B1:D1"/>
    <mergeCell ref="A2:B2"/>
    <mergeCell ref="A14:B14"/>
    <mergeCell ref="A17:B17"/>
    <mergeCell ref="A13:B13"/>
    <mergeCell ref="A16:B16"/>
  </mergeCells>
  <dataValidations count="6">
    <dataValidation type="list" allowBlank="1" showInputMessage="1" showErrorMessage="1" promptTitle="Izberi klub" sqref="B15" xr:uid="{00000000-0002-0000-0000-000000000000}">
      <formula1>klubi.</formula1>
    </dataValidation>
    <dataValidation type="list" allowBlank="1" showInputMessage="1" showErrorMessage="1" sqref="B18" xr:uid="{00000000-0002-0000-0000-000001000000}">
      <formula1>lige.</formula1>
    </dataValidation>
    <dataValidation type="list" allowBlank="1" showInputMessage="1" showErrorMessage="1" sqref="B11" xr:uid="{00000000-0002-0000-0000-000002000000}">
      <formula1>status.</formula1>
    </dataValidation>
    <dataValidation type="list" allowBlank="1" showInputMessage="1" showErrorMessage="1" sqref="B21" xr:uid="{00000000-0002-0000-0000-000003000000}">
      <formula1>uradna.</formula1>
    </dataValidation>
    <dataValidation type="list" allowBlank="1" showInputMessage="1" showErrorMessage="1" sqref="B10" xr:uid="{00000000-0002-0000-0000-000004000000}">
      <formula1>delo.</formula1>
    </dataValidation>
    <dataValidation type="list" allowBlank="1" showInputMessage="1" showErrorMessage="1" sqref="B24:B26" xr:uid="{00000000-0002-0000-0000-000005000000}">
      <formula1>dane.</formula1>
    </dataValidation>
  </dataValidation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WVO71"/>
  <sheetViews>
    <sheetView topLeftCell="A19" zoomScale="80" zoomScaleNormal="80" workbookViewId="0">
      <selection activeCell="C25" sqref="C25"/>
    </sheetView>
  </sheetViews>
  <sheetFormatPr defaultColWidth="0" defaultRowHeight="12.9" zeroHeight="1" x14ac:dyDescent="0.35"/>
  <cols>
    <col min="1" max="1" width="3.69140625" style="52" customWidth="1"/>
    <col min="2" max="2" width="43.3046875" style="14" customWidth="1"/>
    <col min="3" max="3" width="34.3828125" style="14" customWidth="1"/>
    <col min="4" max="4" width="24" style="14" customWidth="1"/>
    <col min="5" max="5" width="4.3046875" style="3" hidden="1"/>
    <col min="6" max="6" width="9.3046875" style="3" hidden="1"/>
    <col min="7" max="7" width="7.15234375" style="3" hidden="1"/>
    <col min="8" max="10" width="9.15234375" style="3" hidden="1"/>
    <col min="11" max="11" width="15" style="3" hidden="1"/>
    <col min="12" max="12" width="18" style="3" hidden="1"/>
    <col min="13" max="256" width="9.15234375" style="3" hidden="1"/>
    <col min="257" max="257" width="3.69140625" style="3" hidden="1"/>
    <col min="258" max="258" width="34.69140625" style="3" hidden="1"/>
    <col min="259" max="259" width="12.69140625" style="3" hidden="1"/>
    <col min="260" max="260" width="16.69140625" style="3" hidden="1"/>
    <col min="261" max="261" width="4.3046875" style="3" hidden="1"/>
    <col min="262" max="262" width="9.3046875" style="3" hidden="1"/>
    <col min="263" max="263" width="7.15234375" style="3" hidden="1"/>
    <col min="264" max="512" width="9.15234375" style="3" hidden="1"/>
    <col min="513" max="513" width="3.69140625" style="3" hidden="1"/>
    <col min="514" max="514" width="34.69140625" style="3" hidden="1"/>
    <col min="515" max="515" width="12.69140625" style="3" hidden="1"/>
    <col min="516" max="516" width="16.69140625" style="3" hidden="1"/>
    <col min="517" max="517" width="4.3046875" style="3" hidden="1"/>
    <col min="518" max="518" width="9.3046875" style="3" hidden="1"/>
    <col min="519" max="519" width="7.15234375" style="3" hidden="1"/>
    <col min="520" max="768" width="9.15234375" style="3" hidden="1"/>
    <col min="769" max="769" width="3.69140625" style="3" hidden="1"/>
    <col min="770" max="770" width="34.69140625" style="3" hidden="1"/>
    <col min="771" max="771" width="12.69140625" style="3" hidden="1"/>
    <col min="772" max="772" width="16.69140625" style="3" hidden="1"/>
    <col min="773" max="773" width="4.3046875" style="3" hidden="1"/>
    <col min="774" max="774" width="9.3046875" style="3" hidden="1"/>
    <col min="775" max="775" width="7.15234375" style="3" hidden="1"/>
    <col min="776" max="1024" width="9.15234375" style="3" hidden="1"/>
    <col min="1025" max="1025" width="3.69140625" style="3" hidden="1"/>
    <col min="1026" max="1026" width="34.69140625" style="3" hidden="1"/>
    <col min="1027" max="1027" width="12.69140625" style="3" hidden="1"/>
    <col min="1028" max="1028" width="16.69140625" style="3" hidden="1"/>
    <col min="1029" max="1029" width="4.3046875" style="3" hidden="1"/>
    <col min="1030" max="1030" width="9.3046875" style="3" hidden="1"/>
    <col min="1031" max="1031" width="7.15234375" style="3" hidden="1"/>
    <col min="1032" max="1280" width="9.15234375" style="3" hidden="1"/>
    <col min="1281" max="1281" width="3.69140625" style="3" hidden="1"/>
    <col min="1282" max="1282" width="34.69140625" style="3" hidden="1"/>
    <col min="1283" max="1283" width="12.69140625" style="3" hidden="1"/>
    <col min="1284" max="1284" width="16.69140625" style="3" hidden="1"/>
    <col min="1285" max="1285" width="4.3046875" style="3" hidden="1"/>
    <col min="1286" max="1286" width="9.3046875" style="3" hidden="1"/>
    <col min="1287" max="1287" width="7.15234375" style="3" hidden="1"/>
    <col min="1288" max="1536" width="9.15234375" style="3" hidden="1"/>
    <col min="1537" max="1537" width="3.69140625" style="3" hidden="1"/>
    <col min="1538" max="1538" width="34.69140625" style="3" hidden="1"/>
    <col min="1539" max="1539" width="12.69140625" style="3" hidden="1"/>
    <col min="1540" max="1540" width="16.69140625" style="3" hidden="1"/>
    <col min="1541" max="1541" width="4.3046875" style="3" hidden="1"/>
    <col min="1542" max="1542" width="9.3046875" style="3" hidden="1"/>
    <col min="1543" max="1543" width="7.15234375" style="3" hidden="1"/>
    <col min="1544" max="1792" width="9.15234375" style="3" hidden="1"/>
    <col min="1793" max="1793" width="3.69140625" style="3" hidden="1"/>
    <col min="1794" max="1794" width="34.69140625" style="3" hidden="1"/>
    <col min="1795" max="1795" width="12.69140625" style="3" hidden="1"/>
    <col min="1796" max="1796" width="16.69140625" style="3" hidden="1"/>
    <col min="1797" max="1797" width="4.3046875" style="3" hidden="1"/>
    <col min="1798" max="1798" width="9.3046875" style="3" hidden="1"/>
    <col min="1799" max="1799" width="7.15234375" style="3" hidden="1"/>
    <col min="1800" max="2048" width="9.15234375" style="3" hidden="1"/>
    <col min="2049" max="2049" width="3.69140625" style="3" hidden="1"/>
    <col min="2050" max="2050" width="34.69140625" style="3" hidden="1"/>
    <col min="2051" max="2051" width="12.69140625" style="3" hidden="1"/>
    <col min="2052" max="2052" width="16.69140625" style="3" hidden="1"/>
    <col min="2053" max="2053" width="4.3046875" style="3" hidden="1"/>
    <col min="2054" max="2054" width="9.3046875" style="3" hidden="1"/>
    <col min="2055" max="2055" width="7.15234375" style="3" hidden="1"/>
    <col min="2056" max="2304" width="9.15234375" style="3" hidden="1"/>
    <col min="2305" max="2305" width="3.69140625" style="3" hidden="1"/>
    <col min="2306" max="2306" width="34.69140625" style="3" hidden="1"/>
    <col min="2307" max="2307" width="12.69140625" style="3" hidden="1"/>
    <col min="2308" max="2308" width="16.69140625" style="3" hidden="1"/>
    <col min="2309" max="2309" width="4.3046875" style="3" hidden="1"/>
    <col min="2310" max="2310" width="9.3046875" style="3" hidden="1"/>
    <col min="2311" max="2311" width="7.15234375" style="3" hidden="1"/>
    <col min="2312" max="2560" width="9.15234375" style="3" hidden="1"/>
    <col min="2561" max="2561" width="3.69140625" style="3" hidden="1"/>
    <col min="2562" max="2562" width="34.69140625" style="3" hidden="1"/>
    <col min="2563" max="2563" width="12.69140625" style="3" hidden="1"/>
    <col min="2564" max="2564" width="16.69140625" style="3" hidden="1"/>
    <col min="2565" max="2565" width="4.3046875" style="3" hidden="1"/>
    <col min="2566" max="2566" width="9.3046875" style="3" hidden="1"/>
    <col min="2567" max="2567" width="7.15234375" style="3" hidden="1"/>
    <col min="2568" max="2816" width="9.15234375" style="3" hidden="1"/>
    <col min="2817" max="2817" width="3.69140625" style="3" hidden="1"/>
    <col min="2818" max="2818" width="34.69140625" style="3" hidden="1"/>
    <col min="2819" max="2819" width="12.69140625" style="3" hidden="1"/>
    <col min="2820" max="2820" width="16.69140625" style="3" hidden="1"/>
    <col min="2821" max="2821" width="4.3046875" style="3" hidden="1"/>
    <col min="2822" max="2822" width="9.3046875" style="3" hidden="1"/>
    <col min="2823" max="2823" width="7.15234375" style="3" hidden="1"/>
    <col min="2824" max="3072" width="9.15234375" style="3" hidden="1"/>
    <col min="3073" max="3073" width="3.69140625" style="3" hidden="1"/>
    <col min="3074" max="3074" width="34.69140625" style="3" hidden="1"/>
    <col min="3075" max="3075" width="12.69140625" style="3" hidden="1"/>
    <col min="3076" max="3076" width="16.69140625" style="3" hidden="1"/>
    <col min="3077" max="3077" width="4.3046875" style="3" hidden="1"/>
    <col min="3078" max="3078" width="9.3046875" style="3" hidden="1"/>
    <col min="3079" max="3079" width="7.15234375" style="3" hidden="1"/>
    <col min="3080" max="3328" width="9.15234375" style="3" hidden="1"/>
    <col min="3329" max="3329" width="3.69140625" style="3" hidden="1"/>
    <col min="3330" max="3330" width="34.69140625" style="3" hidden="1"/>
    <col min="3331" max="3331" width="12.69140625" style="3" hidden="1"/>
    <col min="3332" max="3332" width="16.69140625" style="3" hidden="1"/>
    <col min="3333" max="3333" width="4.3046875" style="3" hidden="1"/>
    <col min="3334" max="3334" width="9.3046875" style="3" hidden="1"/>
    <col min="3335" max="3335" width="7.15234375" style="3" hidden="1"/>
    <col min="3336" max="3584" width="9.15234375" style="3" hidden="1"/>
    <col min="3585" max="3585" width="3.69140625" style="3" hidden="1"/>
    <col min="3586" max="3586" width="34.69140625" style="3" hidden="1"/>
    <col min="3587" max="3587" width="12.69140625" style="3" hidden="1"/>
    <col min="3588" max="3588" width="16.69140625" style="3" hidden="1"/>
    <col min="3589" max="3589" width="4.3046875" style="3" hidden="1"/>
    <col min="3590" max="3590" width="9.3046875" style="3" hidden="1"/>
    <col min="3591" max="3591" width="7.15234375" style="3" hidden="1"/>
    <col min="3592" max="3840" width="9.15234375" style="3" hidden="1"/>
    <col min="3841" max="3841" width="3.69140625" style="3" hidden="1"/>
    <col min="3842" max="3842" width="34.69140625" style="3" hidden="1"/>
    <col min="3843" max="3843" width="12.69140625" style="3" hidden="1"/>
    <col min="3844" max="3844" width="16.69140625" style="3" hidden="1"/>
    <col min="3845" max="3845" width="4.3046875" style="3" hidden="1"/>
    <col min="3846" max="3846" width="9.3046875" style="3" hidden="1"/>
    <col min="3847" max="3847" width="7.15234375" style="3" hidden="1"/>
    <col min="3848" max="4096" width="9.15234375" style="3" hidden="1"/>
    <col min="4097" max="4097" width="3.69140625" style="3" hidden="1"/>
    <col min="4098" max="4098" width="34.69140625" style="3" hidden="1"/>
    <col min="4099" max="4099" width="12.69140625" style="3" hidden="1"/>
    <col min="4100" max="4100" width="16.69140625" style="3" hidden="1"/>
    <col min="4101" max="4101" width="4.3046875" style="3" hidden="1"/>
    <col min="4102" max="4102" width="9.3046875" style="3" hidden="1"/>
    <col min="4103" max="4103" width="7.15234375" style="3" hidden="1"/>
    <col min="4104" max="4352" width="9.15234375" style="3" hidden="1"/>
    <col min="4353" max="4353" width="3.69140625" style="3" hidden="1"/>
    <col min="4354" max="4354" width="34.69140625" style="3" hidden="1"/>
    <col min="4355" max="4355" width="12.69140625" style="3" hidden="1"/>
    <col min="4356" max="4356" width="16.69140625" style="3" hidden="1"/>
    <col min="4357" max="4357" width="4.3046875" style="3" hidden="1"/>
    <col min="4358" max="4358" width="9.3046875" style="3" hidden="1"/>
    <col min="4359" max="4359" width="7.15234375" style="3" hidden="1"/>
    <col min="4360" max="4608" width="9.15234375" style="3" hidden="1"/>
    <col min="4609" max="4609" width="3.69140625" style="3" hidden="1"/>
    <col min="4610" max="4610" width="34.69140625" style="3" hidden="1"/>
    <col min="4611" max="4611" width="12.69140625" style="3" hidden="1"/>
    <col min="4612" max="4612" width="16.69140625" style="3" hidden="1"/>
    <col min="4613" max="4613" width="4.3046875" style="3" hidden="1"/>
    <col min="4614" max="4614" width="9.3046875" style="3" hidden="1"/>
    <col min="4615" max="4615" width="7.15234375" style="3" hidden="1"/>
    <col min="4616" max="4864" width="9.15234375" style="3" hidden="1"/>
    <col min="4865" max="4865" width="3.69140625" style="3" hidden="1"/>
    <col min="4866" max="4866" width="34.69140625" style="3" hidden="1"/>
    <col min="4867" max="4867" width="12.69140625" style="3" hidden="1"/>
    <col min="4868" max="4868" width="16.69140625" style="3" hidden="1"/>
    <col min="4869" max="4869" width="4.3046875" style="3" hidden="1"/>
    <col min="4870" max="4870" width="9.3046875" style="3" hidden="1"/>
    <col min="4871" max="4871" width="7.15234375" style="3" hidden="1"/>
    <col min="4872" max="5120" width="9.15234375" style="3" hidden="1"/>
    <col min="5121" max="5121" width="3.69140625" style="3" hidden="1"/>
    <col min="5122" max="5122" width="34.69140625" style="3" hidden="1"/>
    <col min="5123" max="5123" width="12.69140625" style="3" hidden="1"/>
    <col min="5124" max="5124" width="16.69140625" style="3" hidden="1"/>
    <col min="5125" max="5125" width="4.3046875" style="3" hidden="1"/>
    <col min="5126" max="5126" width="9.3046875" style="3" hidden="1"/>
    <col min="5127" max="5127" width="7.15234375" style="3" hidden="1"/>
    <col min="5128" max="5376" width="9.15234375" style="3" hidden="1"/>
    <col min="5377" max="5377" width="3.69140625" style="3" hidden="1"/>
    <col min="5378" max="5378" width="34.69140625" style="3" hidden="1"/>
    <col min="5379" max="5379" width="12.69140625" style="3" hidden="1"/>
    <col min="5380" max="5380" width="16.69140625" style="3" hidden="1"/>
    <col min="5381" max="5381" width="4.3046875" style="3" hidden="1"/>
    <col min="5382" max="5382" width="9.3046875" style="3" hidden="1"/>
    <col min="5383" max="5383" width="7.15234375" style="3" hidden="1"/>
    <col min="5384" max="5632" width="9.15234375" style="3" hidden="1"/>
    <col min="5633" max="5633" width="3.69140625" style="3" hidden="1"/>
    <col min="5634" max="5634" width="34.69140625" style="3" hidden="1"/>
    <col min="5635" max="5635" width="12.69140625" style="3" hidden="1"/>
    <col min="5636" max="5636" width="16.69140625" style="3" hidden="1"/>
    <col min="5637" max="5637" width="4.3046875" style="3" hidden="1"/>
    <col min="5638" max="5638" width="9.3046875" style="3" hidden="1"/>
    <col min="5639" max="5639" width="7.15234375" style="3" hidden="1"/>
    <col min="5640" max="5888" width="9.15234375" style="3" hidden="1"/>
    <col min="5889" max="5889" width="3.69140625" style="3" hidden="1"/>
    <col min="5890" max="5890" width="34.69140625" style="3" hidden="1"/>
    <col min="5891" max="5891" width="12.69140625" style="3" hidden="1"/>
    <col min="5892" max="5892" width="16.69140625" style="3" hidden="1"/>
    <col min="5893" max="5893" width="4.3046875" style="3" hidden="1"/>
    <col min="5894" max="5894" width="9.3046875" style="3" hidden="1"/>
    <col min="5895" max="5895" width="7.15234375" style="3" hidden="1"/>
    <col min="5896" max="6144" width="9.15234375" style="3" hidden="1"/>
    <col min="6145" max="6145" width="3.69140625" style="3" hidden="1"/>
    <col min="6146" max="6146" width="34.69140625" style="3" hidden="1"/>
    <col min="6147" max="6147" width="12.69140625" style="3" hidden="1"/>
    <col min="6148" max="6148" width="16.69140625" style="3" hidden="1"/>
    <col min="6149" max="6149" width="4.3046875" style="3" hidden="1"/>
    <col min="6150" max="6150" width="9.3046875" style="3" hidden="1"/>
    <col min="6151" max="6151" width="7.15234375" style="3" hidden="1"/>
    <col min="6152" max="6400" width="9.15234375" style="3" hidden="1"/>
    <col min="6401" max="6401" width="3.69140625" style="3" hidden="1"/>
    <col min="6402" max="6402" width="34.69140625" style="3" hidden="1"/>
    <col min="6403" max="6403" width="12.69140625" style="3" hidden="1"/>
    <col min="6404" max="6404" width="16.69140625" style="3" hidden="1"/>
    <col min="6405" max="6405" width="4.3046875" style="3" hidden="1"/>
    <col min="6406" max="6406" width="9.3046875" style="3" hidden="1"/>
    <col min="6407" max="6407" width="7.15234375" style="3" hidden="1"/>
    <col min="6408" max="6656" width="9.15234375" style="3" hidden="1"/>
    <col min="6657" max="6657" width="3.69140625" style="3" hidden="1"/>
    <col min="6658" max="6658" width="34.69140625" style="3" hidden="1"/>
    <col min="6659" max="6659" width="12.69140625" style="3" hidden="1"/>
    <col min="6660" max="6660" width="16.69140625" style="3" hidden="1"/>
    <col min="6661" max="6661" width="4.3046875" style="3" hidden="1"/>
    <col min="6662" max="6662" width="9.3046875" style="3" hidden="1"/>
    <col min="6663" max="6663" width="7.15234375" style="3" hidden="1"/>
    <col min="6664" max="6912" width="9.15234375" style="3" hidden="1"/>
    <col min="6913" max="6913" width="3.69140625" style="3" hidden="1"/>
    <col min="6914" max="6914" width="34.69140625" style="3" hidden="1"/>
    <col min="6915" max="6915" width="12.69140625" style="3" hidden="1"/>
    <col min="6916" max="6916" width="16.69140625" style="3" hidden="1"/>
    <col min="6917" max="6917" width="4.3046875" style="3" hidden="1"/>
    <col min="6918" max="6918" width="9.3046875" style="3" hidden="1"/>
    <col min="6919" max="6919" width="7.15234375" style="3" hidden="1"/>
    <col min="6920" max="7168" width="9.15234375" style="3" hidden="1"/>
    <col min="7169" max="7169" width="3.69140625" style="3" hidden="1"/>
    <col min="7170" max="7170" width="34.69140625" style="3" hidden="1"/>
    <col min="7171" max="7171" width="12.69140625" style="3" hidden="1"/>
    <col min="7172" max="7172" width="16.69140625" style="3" hidden="1"/>
    <col min="7173" max="7173" width="4.3046875" style="3" hidden="1"/>
    <col min="7174" max="7174" width="9.3046875" style="3" hidden="1"/>
    <col min="7175" max="7175" width="7.15234375" style="3" hidden="1"/>
    <col min="7176" max="7424" width="9.15234375" style="3" hidden="1"/>
    <col min="7425" max="7425" width="3.69140625" style="3" hidden="1"/>
    <col min="7426" max="7426" width="34.69140625" style="3" hidden="1"/>
    <col min="7427" max="7427" width="12.69140625" style="3" hidden="1"/>
    <col min="7428" max="7428" width="16.69140625" style="3" hidden="1"/>
    <col min="7429" max="7429" width="4.3046875" style="3" hidden="1"/>
    <col min="7430" max="7430" width="9.3046875" style="3" hidden="1"/>
    <col min="7431" max="7431" width="7.15234375" style="3" hidden="1"/>
    <col min="7432" max="7680" width="9.15234375" style="3" hidden="1"/>
    <col min="7681" max="7681" width="3.69140625" style="3" hidden="1"/>
    <col min="7682" max="7682" width="34.69140625" style="3" hidden="1"/>
    <col min="7683" max="7683" width="12.69140625" style="3" hidden="1"/>
    <col min="7684" max="7684" width="16.69140625" style="3" hidden="1"/>
    <col min="7685" max="7685" width="4.3046875" style="3" hidden="1"/>
    <col min="7686" max="7686" width="9.3046875" style="3" hidden="1"/>
    <col min="7687" max="7687" width="7.15234375" style="3" hidden="1"/>
    <col min="7688" max="7936" width="9.15234375" style="3" hidden="1"/>
    <col min="7937" max="7937" width="3.69140625" style="3" hidden="1"/>
    <col min="7938" max="7938" width="34.69140625" style="3" hidden="1"/>
    <col min="7939" max="7939" width="12.69140625" style="3" hidden="1"/>
    <col min="7940" max="7940" width="16.69140625" style="3" hidden="1"/>
    <col min="7941" max="7941" width="4.3046875" style="3" hidden="1"/>
    <col min="7942" max="7942" width="9.3046875" style="3" hidden="1"/>
    <col min="7943" max="7943" width="7.15234375" style="3" hidden="1"/>
    <col min="7944" max="8192" width="9.15234375" style="3" hidden="1"/>
    <col min="8193" max="8193" width="3.69140625" style="3" hidden="1"/>
    <col min="8194" max="8194" width="34.69140625" style="3" hidden="1"/>
    <col min="8195" max="8195" width="12.69140625" style="3" hidden="1"/>
    <col min="8196" max="8196" width="16.69140625" style="3" hidden="1"/>
    <col min="8197" max="8197" width="4.3046875" style="3" hidden="1"/>
    <col min="8198" max="8198" width="9.3046875" style="3" hidden="1"/>
    <col min="8199" max="8199" width="7.15234375" style="3" hidden="1"/>
    <col min="8200" max="8448" width="9.15234375" style="3" hidden="1"/>
    <col min="8449" max="8449" width="3.69140625" style="3" hidden="1"/>
    <col min="8450" max="8450" width="34.69140625" style="3" hidden="1"/>
    <col min="8451" max="8451" width="12.69140625" style="3" hidden="1"/>
    <col min="8452" max="8452" width="16.69140625" style="3" hidden="1"/>
    <col min="8453" max="8453" width="4.3046875" style="3" hidden="1"/>
    <col min="8454" max="8454" width="9.3046875" style="3" hidden="1"/>
    <col min="8455" max="8455" width="7.15234375" style="3" hidden="1"/>
    <col min="8456" max="8704" width="9.15234375" style="3" hidden="1"/>
    <col min="8705" max="8705" width="3.69140625" style="3" hidden="1"/>
    <col min="8706" max="8706" width="34.69140625" style="3" hidden="1"/>
    <col min="8707" max="8707" width="12.69140625" style="3" hidden="1"/>
    <col min="8708" max="8708" width="16.69140625" style="3" hidden="1"/>
    <col min="8709" max="8709" width="4.3046875" style="3" hidden="1"/>
    <col min="8710" max="8710" width="9.3046875" style="3" hidden="1"/>
    <col min="8711" max="8711" width="7.15234375" style="3" hidden="1"/>
    <col min="8712" max="8960" width="9.15234375" style="3" hidden="1"/>
    <col min="8961" max="8961" width="3.69140625" style="3" hidden="1"/>
    <col min="8962" max="8962" width="34.69140625" style="3" hidden="1"/>
    <col min="8963" max="8963" width="12.69140625" style="3" hidden="1"/>
    <col min="8964" max="8964" width="16.69140625" style="3" hidden="1"/>
    <col min="8965" max="8965" width="4.3046875" style="3" hidden="1"/>
    <col min="8966" max="8966" width="9.3046875" style="3" hidden="1"/>
    <col min="8967" max="8967" width="7.15234375" style="3" hidden="1"/>
    <col min="8968" max="9216" width="9.15234375" style="3" hidden="1"/>
    <col min="9217" max="9217" width="3.69140625" style="3" hidden="1"/>
    <col min="9218" max="9218" width="34.69140625" style="3" hidden="1"/>
    <col min="9219" max="9219" width="12.69140625" style="3" hidden="1"/>
    <col min="9220" max="9220" width="16.69140625" style="3" hidden="1"/>
    <col min="9221" max="9221" width="4.3046875" style="3" hidden="1"/>
    <col min="9222" max="9222" width="9.3046875" style="3" hidden="1"/>
    <col min="9223" max="9223" width="7.15234375" style="3" hidden="1"/>
    <col min="9224" max="9472" width="9.15234375" style="3" hidden="1"/>
    <col min="9473" max="9473" width="3.69140625" style="3" hidden="1"/>
    <col min="9474" max="9474" width="34.69140625" style="3" hidden="1"/>
    <col min="9475" max="9475" width="12.69140625" style="3" hidden="1"/>
    <col min="9476" max="9476" width="16.69140625" style="3" hidden="1"/>
    <col min="9477" max="9477" width="4.3046875" style="3" hidden="1"/>
    <col min="9478" max="9478" width="9.3046875" style="3" hidden="1"/>
    <col min="9479" max="9479" width="7.15234375" style="3" hidden="1"/>
    <col min="9480" max="9728" width="9.15234375" style="3" hidden="1"/>
    <col min="9729" max="9729" width="3.69140625" style="3" hidden="1"/>
    <col min="9730" max="9730" width="34.69140625" style="3" hidden="1"/>
    <col min="9731" max="9731" width="12.69140625" style="3" hidden="1"/>
    <col min="9732" max="9732" width="16.69140625" style="3" hidden="1"/>
    <col min="9733" max="9733" width="4.3046875" style="3" hidden="1"/>
    <col min="9734" max="9734" width="9.3046875" style="3" hidden="1"/>
    <col min="9735" max="9735" width="7.15234375" style="3" hidden="1"/>
    <col min="9736" max="9984" width="9.15234375" style="3" hidden="1"/>
    <col min="9985" max="9985" width="3.69140625" style="3" hidden="1"/>
    <col min="9986" max="9986" width="34.69140625" style="3" hidden="1"/>
    <col min="9987" max="9987" width="12.69140625" style="3" hidden="1"/>
    <col min="9988" max="9988" width="16.69140625" style="3" hidden="1"/>
    <col min="9989" max="9989" width="4.3046875" style="3" hidden="1"/>
    <col min="9990" max="9990" width="9.3046875" style="3" hidden="1"/>
    <col min="9991" max="9991" width="7.15234375" style="3" hidden="1"/>
    <col min="9992" max="10240" width="9.15234375" style="3" hidden="1"/>
    <col min="10241" max="10241" width="3.69140625" style="3" hidden="1"/>
    <col min="10242" max="10242" width="34.69140625" style="3" hidden="1"/>
    <col min="10243" max="10243" width="12.69140625" style="3" hidden="1"/>
    <col min="10244" max="10244" width="16.69140625" style="3" hidden="1"/>
    <col min="10245" max="10245" width="4.3046875" style="3" hidden="1"/>
    <col min="10246" max="10246" width="9.3046875" style="3" hidden="1"/>
    <col min="10247" max="10247" width="7.15234375" style="3" hidden="1"/>
    <col min="10248" max="10496" width="9.15234375" style="3" hidden="1"/>
    <col min="10497" max="10497" width="3.69140625" style="3" hidden="1"/>
    <col min="10498" max="10498" width="34.69140625" style="3" hidden="1"/>
    <col min="10499" max="10499" width="12.69140625" style="3" hidden="1"/>
    <col min="10500" max="10500" width="16.69140625" style="3" hidden="1"/>
    <col min="10501" max="10501" width="4.3046875" style="3" hidden="1"/>
    <col min="10502" max="10502" width="9.3046875" style="3" hidden="1"/>
    <col min="10503" max="10503" width="7.15234375" style="3" hidden="1"/>
    <col min="10504" max="10752" width="9.15234375" style="3" hidden="1"/>
    <col min="10753" max="10753" width="3.69140625" style="3" hidden="1"/>
    <col min="10754" max="10754" width="34.69140625" style="3" hidden="1"/>
    <col min="10755" max="10755" width="12.69140625" style="3" hidden="1"/>
    <col min="10756" max="10756" width="16.69140625" style="3" hidden="1"/>
    <col min="10757" max="10757" width="4.3046875" style="3" hidden="1"/>
    <col min="10758" max="10758" width="9.3046875" style="3" hidden="1"/>
    <col min="10759" max="10759" width="7.15234375" style="3" hidden="1"/>
    <col min="10760" max="11008" width="9.15234375" style="3" hidden="1"/>
    <col min="11009" max="11009" width="3.69140625" style="3" hidden="1"/>
    <col min="11010" max="11010" width="34.69140625" style="3" hidden="1"/>
    <col min="11011" max="11011" width="12.69140625" style="3" hidden="1"/>
    <col min="11012" max="11012" width="16.69140625" style="3" hidden="1"/>
    <col min="11013" max="11013" width="4.3046875" style="3" hidden="1"/>
    <col min="11014" max="11014" width="9.3046875" style="3" hidden="1"/>
    <col min="11015" max="11015" width="7.15234375" style="3" hidden="1"/>
    <col min="11016" max="11264" width="9.15234375" style="3" hidden="1"/>
    <col min="11265" max="11265" width="3.69140625" style="3" hidden="1"/>
    <col min="11266" max="11266" width="34.69140625" style="3" hidden="1"/>
    <col min="11267" max="11267" width="12.69140625" style="3" hidden="1"/>
    <col min="11268" max="11268" width="16.69140625" style="3" hidden="1"/>
    <col min="11269" max="11269" width="4.3046875" style="3" hidden="1"/>
    <col min="11270" max="11270" width="9.3046875" style="3" hidden="1"/>
    <col min="11271" max="11271" width="7.15234375" style="3" hidden="1"/>
    <col min="11272" max="11520" width="9.15234375" style="3" hidden="1"/>
    <col min="11521" max="11521" width="3.69140625" style="3" hidden="1"/>
    <col min="11522" max="11522" width="34.69140625" style="3" hidden="1"/>
    <col min="11523" max="11523" width="12.69140625" style="3" hidden="1"/>
    <col min="11524" max="11524" width="16.69140625" style="3" hidden="1"/>
    <col min="11525" max="11525" width="4.3046875" style="3" hidden="1"/>
    <col min="11526" max="11526" width="9.3046875" style="3" hidden="1"/>
    <col min="11527" max="11527" width="7.15234375" style="3" hidden="1"/>
    <col min="11528" max="11776" width="9.15234375" style="3" hidden="1"/>
    <col min="11777" max="11777" width="3.69140625" style="3" hidden="1"/>
    <col min="11778" max="11778" width="34.69140625" style="3" hidden="1"/>
    <col min="11779" max="11779" width="12.69140625" style="3" hidden="1"/>
    <col min="11780" max="11780" width="16.69140625" style="3" hidden="1"/>
    <col min="11781" max="11781" width="4.3046875" style="3" hidden="1"/>
    <col min="11782" max="11782" width="9.3046875" style="3" hidden="1"/>
    <col min="11783" max="11783" width="7.15234375" style="3" hidden="1"/>
    <col min="11784" max="12032" width="9.15234375" style="3" hidden="1"/>
    <col min="12033" max="12033" width="3.69140625" style="3" hidden="1"/>
    <col min="12034" max="12034" width="34.69140625" style="3" hidden="1"/>
    <col min="12035" max="12035" width="12.69140625" style="3" hidden="1"/>
    <col min="12036" max="12036" width="16.69140625" style="3" hidden="1"/>
    <col min="12037" max="12037" width="4.3046875" style="3" hidden="1"/>
    <col min="12038" max="12038" width="9.3046875" style="3" hidden="1"/>
    <col min="12039" max="12039" width="7.15234375" style="3" hidden="1"/>
    <col min="12040" max="12288" width="9.15234375" style="3" hidden="1"/>
    <col min="12289" max="12289" width="3.69140625" style="3" hidden="1"/>
    <col min="12290" max="12290" width="34.69140625" style="3" hidden="1"/>
    <col min="12291" max="12291" width="12.69140625" style="3" hidden="1"/>
    <col min="12292" max="12292" width="16.69140625" style="3" hidden="1"/>
    <col min="12293" max="12293" width="4.3046875" style="3" hidden="1"/>
    <col min="12294" max="12294" width="9.3046875" style="3" hidden="1"/>
    <col min="12295" max="12295" width="7.15234375" style="3" hidden="1"/>
    <col min="12296" max="12544" width="9.15234375" style="3" hidden="1"/>
    <col min="12545" max="12545" width="3.69140625" style="3" hidden="1"/>
    <col min="12546" max="12546" width="34.69140625" style="3" hidden="1"/>
    <col min="12547" max="12547" width="12.69140625" style="3" hidden="1"/>
    <col min="12548" max="12548" width="16.69140625" style="3" hidden="1"/>
    <col min="12549" max="12549" width="4.3046875" style="3" hidden="1"/>
    <col min="12550" max="12550" width="9.3046875" style="3" hidden="1"/>
    <col min="12551" max="12551" width="7.15234375" style="3" hidden="1"/>
    <col min="12552" max="12800" width="9.15234375" style="3" hidden="1"/>
    <col min="12801" max="12801" width="3.69140625" style="3" hidden="1"/>
    <col min="12802" max="12802" width="34.69140625" style="3" hidden="1"/>
    <col min="12803" max="12803" width="12.69140625" style="3" hidden="1"/>
    <col min="12804" max="12804" width="16.69140625" style="3" hidden="1"/>
    <col min="12805" max="12805" width="4.3046875" style="3" hidden="1"/>
    <col min="12806" max="12806" width="9.3046875" style="3" hidden="1"/>
    <col min="12807" max="12807" width="7.15234375" style="3" hidden="1"/>
    <col min="12808" max="13056" width="9.15234375" style="3" hidden="1"/>
    <col min="13057" max="13057" width="3.69140625" style="3" hidden="1"/>
    <col min="13058" max="13058" width="34.69140625" style="3" hidden="1"/>
    <col min="13059" max="13059" width="12.69140625" style="3" hidden="1"/>
    <col min="13060" max="13060" width="16.69140625" style="3" hidden="1"/>
    <col min="13061" max="13061" width="4.3046875" style="3" hidden="1"/>
    <col min="13062" max="13062" width="9.3046875" style="3" hidden="1"/>
    <col min="13063" max="13063" width="7.15234375" style="3" hidden="1"/>
    <col min="13064" max="13312" width="9.15234375" style="3" hidden="1"/>
    <col min="13313" max="13313" width="3.69140625" style="3" hidden="1"/>
    <col min="13314" max="13314" width="34.69140625" style="3" hidden="1"/>
    <col min="13315" max="13315" width="12.69140625" style="3" hidden="1"/>
    <col min="13316" max="13316" width="16.69140625" style="3" hidden="1"/>
    <col min="13317" max="13317" width="4.3046875" style="3" hidden="1"/>
    <col min="13318" max="13318" width="9.3046875" style="3" hidden="1"/>
    <col min="13319" max="13319" width="7.15234375" style="3" hidden="1"/>
    <col min="13320" max="13568" width="9.15234375" style="3" hidden="1"/>
    <col min="13569" max="13569" width="3.69140625" style="3" hidden="1"/>
    <col min="13570" max="13570" width="34.69140625" style="3" hidden="1"/>
    <col min="13571" max="13571" width="12.69140625" style="3" hidden="1"/>
    <col min="13572" max="13572" width="16.69140625" style="3" hidden="1"/>
    <col min="13573" max="13573" width="4.3046875" style="3" hidden="1"/>
    <col min="13574" max="13574" width="9.3046875" style="3" hidden="1"/>
    <col min="13575" max="13575" width="7.15234375" style="3" hidden="1"/>
    <col min="13576" max="13824" width="9.15234375" style="3" hidden="1"/>
    <col min="13825" max="13825" width="3.69140625" style="3" hidden="1"/>
    <col min="13826" max="13826" width="34.69140625" style="3" hidden="1"/>
    <col min="13827" max="13827" width="12.69140625" style="3" hidden="1"/>
    <col min="13828" max="13828" width="16.69140625" style="3" hidden="1"/>
    <col min="13829" max="13829" width="4.3046875" style="3" hidden="1"/>
    <col min="13830" max="13830" width="9.3046875" style="3" hidden="1"/>
    <col min="13831" max="13831" width="7.15234375" style="3" hidden="1"/>
    <col min="13832" max="14080" width="9.15234375" style="3" hidden="1"/>
    <col min="14081" max="14081" width="3.69140625" style="3" hidden="1"/>
    <col min="14082" max="14082" width="34.69140625" style="3" hidden="1"/>
    <col min="14083" max="14083" width="12.69140625" style="3" hidden="1"/>
    <col min="14084" max="14084" width="16.69140625" style="3" hidden="1"/>
    <col min="14085" max="14085" width="4.3046875" style="3" hidden="1"/>
    <col min="14086" max="14086" width="9.3046875" style="3" hidden="1"/>
    <col min="14087" max="14087" width="7.15234375" style="3" hidden="1"/>
    <col min="14088" max="14336" width="9.15234375" style="3" hidden="1"/>
    <col min="14337" max="14337" width="3.69140625" style="3" hidden="1"/>
    <col min="14338" max="14338" width="34.69140625" style="3" hidden="1"/>
    <col min="14339" max="14339" width="12.69140625" style="3" hidden="1"/>
    <col min="14340" max="14340" width="16.69140625" style="3" hidden="1"/>
    <col min="14341" max="14341" width="4.3046875" style="3" hidden="1"/>
    <col min="14342" max="14342" width="9.3046875" style="3" hidden="1"/>
    <col min="14343" max="14343" width="7.15234375" style="3" hidden="1"/>
    <col min="14344" max="14592" width="9.15234375" style="3" hidden="1"/>
    <col min="14593" max="14593" width="3.69140625" style="3" hidden="1"/>
    <col min="14594" max="14594" width="34.69140625" style="3" hidden="1"/>
    <col min="14595" max="14595" width="12.69140625" style="3" hidden="1"/>
    <col min="14596" max="14596" width="16.69140625" style="3" hidden="1"/>
    <col min="14597" max="14597" width="4.3046875" style="3" hidden="1"/>
    <col min="14598" max="14598" width="9.3046875" style="3" hidden="1"/>
    <col min="14599" max="14599" width="7.15234375" style="3" hidden="1"/>
    <col min="14600" max="14848" width="9.15234375" style="3" hidden="1"/>
    <col min="14849" max="14849" width="3.69140625" style="3" hidden="1"/>
    <col min="14850" max="14850" width="34.69140625" style="3" hidden="1"/>
    <col min="14851" max="14851" width="12.69140625" style="3" hidden="1"/>
    <col min="14852" max="14852" width="16.69140625" style="3" hidden="1"/>
    <col min="14853" max="14853" width="4.3046875" style="3" hidden="1"/>
    <col min="14854" max="14854" width="9.3046875" style="3" hidden="1"/>
    <col min="14855" max="14855" width="7.15234375" style="3" hidden="1"/>
    <col min="14856" max="15104" width="9.15234375" style="3" hidden="1"/>
    <col min="15105" max="15105" width="3.69140625" style="3" hidden="1"/>
    <col min="15106" max="15106" width="34.69140625" style="3" hidden="1"/>
    <col min="15107" max="15107" width="12.69140625" style="3" hidden="1"/>
    <col min="15108" max="15108" width="16.69140625" style="3" hidden="1"/>
    <col min="15109" max="15109" width="4.3046875" style="3" hidden="1"/>
    <col min="15110" max="15110" width="9.3046875" style="3" hidden="1"/>
    <col min="15111" max="15111" width="7.15234375" style="3" hidden="1"/>
    <col min="15112" max="15360" width="9.15234375" style="3" hidden="1"/>
    <col min="15361" max="15361" width="3.69140625" style="3" hidden="1"/>
    <col min="15362" max="15362" width="34.69140625" style="3" hidden="1"/>
    <col min="15363" max="15363" width="12.69140625" style="3" hidden="1"/>
    <col min="15364" max="15364" width="16.69140625" style="3" hidden="1"/>
    <col min="15365" max="15365" width="4.3046875" style="3" hidden="1"/>
    <col min="15366" max="15366" width="9.3046875" style="3" hidden="1"/>
    <col min="15367" max="15367" width="7.15234375" style="3" hidden="1"/>
    <col min="15368" max="15616" width="9.15234375" style="3" hidden="1"/>
    <col min="15617" max="15617" width="3.69140625" style="3" hidden="1"/>
    <col min="15618" max="15618" width="34.69140625" style="3" hidden="1"/>
    <col min="15619" max="15619" width="12.69140625" style="3" hidden="1"/>
    <col min="15620" max="15620" width="16.69140625" style="3" hidden="1"/>
    <col min="15621" max="15621" width="4.3046875" style="3" hidden="1"/>
    <col min="15622" max="15622" width="9.3046875" style="3" hidden="1"/>
    <col min="15623" max="15623" width="7.15234375" style="3" hidden="1"/>
    <col min="15624" max="15872" width="9.15234375" style="3" hidden="1"/>
    <col min="15873" max="15873" width="3.69140625" style="3" hidden="1"/>
    <col min="15874" max="15874" width="34.69140625" style="3" hidden="1"/>
    <col min="15875" max="15875" width="12.69140625" style="3" hidden="1"/>
    <col min="15876" max="15876" width="16.69140625" style="3" hidden="1"/>
    <col min="15877" max="15877" width="4.3046875" style="3" hidden="1"/>
    <col min="15878" max="15878" width="9.3046875" style="3" hidden="1"/>
    <col min="15879" max="15879" width="7.15234375" style="3" hidden="1"/>
    <col min="15880" max="16128" width="9.15234375" style="3" hidden="1"/>
    <col min="16129" max="16129" width="3.69140625" style="3" hidden="1"/>
    <col min="16130" max="16130" width="34.69140625" style="3" hidden="1"/>
    <col min="16131" max="16131" width="12.69140625" style="3" hidden="1"/>
    <col min="16132" max="16132" width="16.69140625" style="3" hidden="1"/>
    <col min="16133" max="16133" width="4.3046875" style="3" hidden="1"/>
    <col min="16134" max="16134" width="9.3046875" style="3" hidden="1"/>
    <col min="16135" max="16135" width="7.15234375" style="3" hidden="1"/>
    <col min="16136" max="16384" width="9.15234375" style="3" hidden="1"/>
  </cols>
  <sheetData>
    <row r="1" spans="1:8" x14ac:dyDescent="0.35">
      <c r="A1" s="3"/>
      <c r="B1" s="43"/>
      <c r="C1" s="43"/>
      <c r="D1" s="43"/>
    </row>
    <row r="2" spans="1:8" ht="15.9" x14ac:dyDescent="0.4">
      <c r="A2" s="43"/>
      <c r="B2" s="46" t="s">
        <v>0</v>
      </c>
      <c r="C2" s="117"/>
      <c r="D2" s="117"/>
      <c r="E2" s="1"/>
      <c r="F2" s="2"/>
      <c r="G2" s="2"/>
      <c r="H2" s="2"/>
    </row>
    <row r="3" spans="1:8" s="5" customFormat="1" ht="15.9" x14ac:dyDescent="0.4">
      <c r="A3" s="47"/>
      <c r="B3" s="48" t="s">
        <v>1</v>
      </c>
      <c r="C3" s="118" t="str">
        <f>Podatki!$B$15</f>
        <v>NK Celje</v>
      </c>
      <c r="D3" s="118"/>
      <c r="E3" s="4"/>
      <c r="F3" s="4"/>
      <c r="G3" s="4"/>
      <c r="H3" s="4"/>
    </row>
    <row r="4" spans="1:8" s="5" customFormat="1" ht="14.6" x14ac:dyDescent="0.4">
      <c r="A4" s="47"/>
      <c r="B4" s="48" t="s">
        <v>2</v>
      </c>
      <c r="C4" s="119" t="str">
        <f>VLOOKUP(C3,Šifranti!B2:D39,2,FALSE)</f>
        <v>Opekarniška cesta 15a, 3000 Celje</v>
      </c>
      <c r="D4" s="119"/>
      <c r="E4" s="6"/>
      <c r="F4" s="7"/>
      <c r="G4" s="4"/>
      <c r="H4" s="4"/>
    </row>
    <row r="5" spans="1:8" s="5" customFormat="1" ht="14.6" x14ac:dyDescent="0.4">
      <c r="A5" s="47"/>
      <c r="B5" s="48" t="s">
        <v>3</v>
      </c>
      <c r="C5" s="119" t="str">
        <f>VLOOKUP(C3,Šifranti!B2:D39,3,FALSE)</f>
        <v>SI12886068</v>
      </c>
      <c r="D5" s="119"/>
      <c r="E5" s="4"/>
      <c r="F5" s="4"/>
      <c r="G5" s="4"/>
      <c r="H5" s="4"/>
    </row>
    <row r="6" spans="1:8" ht="14.6" x14ac:dyDescent="0.4">
      <c r="A6" s="43"/>
      <c r="B6" s="41"/>
      <c r="C6" s="41"/>
      <c r="D6" s="41"/>
      <c r="E6" s="2"/>
      <c r="F6" s="2"/>
      <c r="G6" s="2"/>
      <c r="H6" s="2"/>
    </row>
    <row r="7" spans="1:8" ht="14.6" x14ac:dyDescent="0.4">
      <c r="B7" s="51"/>
      <c r="C7" s="51"/>
      <c r="D7" s="51"/>
      <c r="E7" s="2"/>
      <c r="F7" s="2"/>
      <c r="G7" s="2"/>
      <c r="H7" s="2"/>
    </row>
    <row r="8" spans="1:8" ht="23.15" x14ac:dyDescent="0.6">
      <c r="A8" s="14"/>
      <c r="B8" s="120" t="s">
        <v>17</v>
      </c>
      <c r="C8" s="121"/>
      <c r="D8" s="122"/>
      <c r="E8" s="8"/>
      <c r="F8" s="8"/>
      <c r="G8" s="8"/>
      <c r="H8" s="8"/>
    </row>
    <row r="9" spans="1:8" ht="23.15" x14ac:dyDescent="0.6">
      <c r="A9" s="14"/>
      <c r="B9" s="108" t="s">
        <v>67</v>
      </c>
      <c r="C9" s="109"/>
      <c r="D9" s="110"/>
      <c r="E9" s="8"/>
      <c r="F9" s="8"/>
      <c r="G9" s="8"/>
      <c r="H9" s="8"/>
    </row>
    <row r="10" spans="1:8" ht="23.15" x14ac:dyDescent="0.6">
      <c r="A10" s="14"/>
      <c r="B10" s="113" t="s">
        <v>18</v>
      </c>
      <c r="C10" s="114"/>
      <c r="D10" s="115"/>
      <c r="E10" s="59"/>
      <c r="F10" s="59"/>
      <c r="G10" s="59"/>
      <c r="H10" s="59"/>
    </row>
    <row r="11" spans="1:8" s="43" customFormat="1" ht="14.6" x14ac:dyDescent="0.4">
      <c r="A11" s="52"/>
      <c r="B11" s="111" t="str">
        <f>IF(Podatki!B11="Zavarovan","(oseba se ne zavaruje po 18. členu ZPIZ-2)","(oseba se zavaruje po 18. členu ZPIZ-2)")</f>
        <v>(oseba se ne zavaruje po 18. členu ZPIZ-2)</v>
      </c>
      <c r="C11" s="111"/>
      <c r="D11" s="111"/>
      <c r="E11" s="49"/>
      <c r="F11" s="49"/>
      <c r="G11" s="49"/>
      <c r="H11" s="49"/>
    </row>
    <row r="12" spans="1:8" s="43" customFormat="1" ht="14.6" x14ac:dyDescent="0.4">
      <c r="A12" s="52"/>
      <c r="B12" s="79"/>
      <c r="C12" s="80"/>
      <c r="D12" s="80"/>
      <c r="E12" s="49"/>
      <c r="F12" s="49"/>
      <c r="G12" s="49"/>
      <c r="H12" s="49"/>
    </row>
    <row r="13" spans="1:8" s="43" customFormat="1" ht="14.6" x14ac:dyDescent="0.4">
      <c r="A13" s="52"/>
      <c r="B13" s="81"/>
      <c r="C13" s="81"/>
      <c r="D13" s="81"/>
      <c r="E13" s="50"/>
      <c r="F13" s="50"/>
      <c r="G13" s="41"/>
      <c r="H13" s="41"/>
    </row>
    <row r="14" spans="1:8" ht="14.6" x14ac:dyDescent="0.4">
      <c r="B14" s="82" t="s">
        <v>52</v>
      </c>
      <c r="C14" s="112" t="str">
        <f>Podatki!B3</f>
        <v>Janez Vzorec</v>
      </c>
      <c r="D14" s="112"/>
      <c r="E14" s="60"/>
      <c r="F14" s="60"/>
      <c r="G14" s="60"/>
      <c r="H14" s="2"/>
    </row>
    <row r="15" spans="1:8" ht="14.6" x14ac:dyDescent="0.4">
      <c r="B15" s="82" t="s">
        <v>53</v>
      </c>
      <c r="C15" s="112">
        <f>Podatki!B6</f>
        <v>12345678</v>
      </c>
      <c r="D15" s="112"/>
      <c r="E15" s="11"/>
      <c r="F15" s="11"/>
      <c r="G15" s="11"/>
      <c r="H15" s="2"/>
    </row>
    <row r="16" spans="1:8" ht="14.6" x14ac:dyDescent="0.4">
      <c r="B16" s="82" t="s">
        <v>128</v>
      </c>
      <c r="C16" s="116" t="str">
        <f>Podatki!B8</f>
        <v>1234567890123</v>
      </c>
      <c r="D16" s="116"/>
      <c r="E16" s="11"/>
      <c r="F16" s="11"/>
      <c r="G16" s="11"/>
      <c r="H16" s="2"/>
    </row>
    <row r="17" spans="2:8" ht="14.6" x14ac:dyDescent="0.4">
      <c r="B17" s="82" t="s">
        <v>54</v>
      </c>
      <c r="C17" s="112" t="str">
        <f>Podatki!B4</f>
        <v>Janezova ulica 1</v>
      </c>
      <c r="D17" s="112"/>
      <c r="E17" s="60"/>
      <c r="F17" s="60"/>
      <c r="G17" s="60"/>
      <c r="H17" s="2"/>
    </row>
    <row r="18" spans="2:8" ht="14.6" x14ac:dyDescent="0.4">
      <c r="B18" s="82"/>
      <c r="C18" s="93" t="str">
        <f>Podatki!B5</f>
        <v>3000 Celje</v>
      </c>
      <c r="D18" s="93"/>
      <c r="E18" s="60"/>
      <c r="F18" s="60"/>
      <c r="G18" s="60"/>
      <c r="H18" s="2"/>
    </row>
    <row r="19" spans="2:8" ht="14.6" x14ac:dyDescent="0.4">
      <c r="B19" s="82" t="s">
        <v>55</v>
      </c>
      <c r="C19" s="112" t="str">
        <f>IF(Podatki!B11="Zavarovan","NE","DA")</f>
        <v>NE</v>
      </c>
      <c r="D19" s="112"/>
      <c r="E19" s="2"/>
      <c r="F19" s="2"/>
      <c r="G19" s="2"/>
      <c r="H19" s="2"/>
    </row>
    <row r="20" spans="2:8" ht="14.6" x14ac:dyDescent="0.4">
      <c r="B20" s="82" t="str">
        <f>"Obračun za tekmo " &amp; Podatki!B18 &amp; ":"</f>
        <v>Obračun za tekmo MČL:</v>
      </c>
      <c r="C20" s="112" t="str">
        <f>Podatki!B20 &amp; " : " &amp; Podatki!D20</f>
        <v>Ekipa 1 : Ekipa 2</v>
      </c>
      <c r="D20" s="112"/>
      <c r="E20" s="60"/>
      <c r="F20" s="60"/>
      <c r="G20" s="2"/>
      <c r="H20" s="2"/>
    </row>
    <row r="21" spans="2:8" ht="14.6" x14ac:dyDescent="0.4">
      <c r="B21" s="82" t="s">
        <v>56</v>
      </c>
      <c r="C21" s="106">
        <f>Podatki!B19</f>
        <v>42462</v>
      </c>
      <c r="D21" s="106"/>
      <c r="E21" s="60"/>
      <c r="F21" s="60"/>
      <c r="G21" s="2"/>
      <c r="H21" s="2"/>
    </row>
    <row r="22" spans="2:8" ht="14.6" x14ac:dyDescent="0.4">
      <c r="B22" s="82" t="s">
        <v>4</v>
      </c>
      <c r="C22" s="107" t="str">
        <f>"Stroški -" &amp;Podatki!B21</f>
        <v>Stroški -Glavni sodnik</v>
      </c>
      <c r="D22" s="107"/>
      <c r="E22" s="11"/>
      <c r="F22" s="11"/>
      <c r="G22" s="2"/>
      <c r="H22" s="2"/>
    </row>
    <row r="23" spans="2:8" ht="14.6" x14ac:dyDescent="0.4">
      <c r="B23" s="51"/>
      <c r="C23" s="51"/>
      <c r="D23" s="51"/>
      <c r="E23" s="2"/>
      <c r="F23" s="2"/>
      <c r="G23" s="2"/>
      <c r="H23" s="2"/>
    </row>
    <row r="24" spans="2:8" ht="14.6" x14ac:dyDescent="0.4">
      <c r="B24" s="9" t="s">
        <v>5</v>
      </c>
      <c r="C24" s="10">
        <f>IF(Podatki!B26="DA",(Cenik!J6*0.7)/(1+(0.9*0.0885)+(0.9*0.0053)),IF(Podatki!B24="DA",(Cenik!J6*0.75)/(1+(0.9*0.0885)+(0.9*0.0053)),IF(AND(Podatki!B25="DA",Podatki!B21="Glavni sodnik"),Cenik!J6/(1+(0.9*0.0885)+(0.9*0.0053))+(Cenik!L2*0.4)/(1+(0.9*0.0885)+(0.9*0.0053)),Cenik!J6/(1+(0.9*0.0885)+(0.9*0.0053)))))</f>
        <v>76.538610501466223</v>
      </c>
      <c r="D24" s="51"/>
    </row>
    <row r="25" spans="2:8" ht="14.6" x14ac:dyDescent="0.4">
      <c r="B25" s="51"/>
      <c r="C25" s="51"/>
      <c r="D25" s="51"/>
    </row>
    <row r="26" spans="2:8" ht="14.6" x14ac:dyDescent="0.35">
      <c r="B26" s="12" t="s">
        <v>6</v>
      </c>
      <c r="C26" s="13" t="s">
        <v>7</v>
      </c>
      <c r="D26" s="52"/>
    </row>
    <row r="27" spans="2:8" ht="14.6" x14ac:dyDescent="0.4">
      <c r="B27" s="15" t="s">
        <v>8</v>
      </c>
      <c r="C27" s="16">
        <f>C24</f>
        <v>76.538610501466223</v>
      </c>
      <c r="D27" s="51"/>
    </row>
    <row r="28" spans="2:8" ht="14.6" x14ac:dyDescent="0.4">
      <c r="B28" s="15" t="s">
        <v>9</v>
      </c>
      <c r="C28" s="16">
        <f>ROUND(C27*0.1,2)</f>
        <v>7.65</v>
      </c>
      <c r="D28" s="51"/>
    </row>
    <row r="29" spans="2:8" ht="14.6" x14ac:dyDescent="0.4">
      <c r="B29" s="15" t="s">
        <v>59</v>
      </c>
      <c r="C29" s="16">
        <f>IF(C19="DA",ROUND(+C27*0.9*15.5%,2),0)</f>
        <v>0</v>
      </c>
      <c r="D29" s="51"/>
    </row>
    <row r="30" spans="2:8" ht="14.6" x14ac:dyDescent="0.4">
      <c r="B30" s="15" t="s">
        <v>60</v>
      </c>
      <c r="C30" s="16">
        <f>ROUND(+C27*0.9*6.36%,2)</f>
        <v>4.38</v>
      </c>
      <c r="D30" s="51"/>
    </row>
    <row r="31" spans="2:8" ht="14.6" x14ac:dyDescent="0.4">
      <c r="B31" s="15" t="s">
        <v>61</v>
      </c>
      <c r="C31" s="16">
        <f>C27-C28-C29-C30</f>
        <v>64.508610501466222</v>
      </c>
      <c r="D31" s="51"/>
    </row>
    <row r="32" spans="2:8" ht="14.6" x14ac:dyDescent="0.4">
      <c r="B32" s="15" t="s">
        <v>65</v>
      </c>
      <c r="C32" s="16">
        <f>ROUND(C31*0.25,2)</f>
        <v>16.13</v>
      </c>
      <c r="D32" s="51"/>
    </row>
    <row r="33" spans="1:9" ht="14.6" x14ac:dyDescent="0.4">
      <c r="B33" s="15" t="s">
        <v>66</v>
      </c>
      <c r="C33" s="16">
        <f>C27-C29-C30-C32</f>
        <v>56.028610501466233</v>
      </c>
      <c r="D33" s="51"/>
    </row>
    <row r="34" spans="1:9" ht="14.6" x14ac:dyDescent="0.4">
      <c r="B34" s="17" t="s">
        <v>62</v>
      </c>
      <c r="C34" s="16">
        <f>ROUND(C27*0.9*0.0885,2)</f>
        <v>6.1</v>
      </c>
      <c r="D34" s="51"/>
    </row>
    <row r="35" spans="1:9" ht="14.6" x14ac:dyDescent="0.4">
      <c r="B35" s="17" t="s">
        <v>63</v>
      </c>
      <c r="C35" s="16">
        <f>ROUND(+C27*0.9*0.53%,2)</f>
        <v>0.37</v>
      </c>
      <c r="D35" s="51"/>
    </row>
    <row r="36" spans="1:9" ht="14.6" x14ac:dyDescent="0.4">
      <c r="B36" s="18" t="s">
        <v>64</v>
      </c>
      <c r="C36" s="34">
        <f>+C27+C34+C35</f>
        <v>83.008610501466222</v>
      </c>
      <c r="D36" s="51"/>
    </row>
    <row r="37" spans="1:9" ht="14.6" x14ac:dyDescent="0.4">
      <c r="B37" s="51"/>
      <c r="C37" s="51"/>
      <c r="D37" s="53"/>
      <c r="E37" s="20"/>
      <c r="F37" s="2"/>
      <c r="G37" s="2"/>
      <c r="H37" s="2"/>
    </row>
    <row r="38" spans="1:9" ht="14.6" x14ac:dyDescent="0.4">
      <c r="A38" s="83"/>
      <c r="B38" s="9" t="s">
        <v>10</v>
      </c>
      <c r="C38" s="22">
        <f>C33</f>
        <v>56.028610501466233</v>
      </c>
      <c r="D38" s="54"/>
      <c r="E38" s="24"/>
      <c r="F38" s="25"/>
      <c r="G38" s="25"/>
      <c r="H38" s="25"/>
    </row>
    <row r="39" spans="1:9" s="43" customFormat="1" ht="14.6" x14ac:dyDescent="0.4">
      <c r="A39" s="83"/>
      <c r="B39" s="55"/>
      <c r="C39" s="56"/>
      <c r="D39" s="54"/>
      <c r="E39" s="57"/>
      <c r="F39" s="58"/>
      <c r="G39" s="58"/>
      <c r="H39" s="58"/>
    </row>
    <row r="40" spans="1:9" ht="14.6" x14ac:dyDescent="0.4">
      <c r="A40" s="83"/>
      <c r="B40" s="82" t="str">
        <f>"Znesek " &amp; ROUND(C38,2) &amp; " EUR nakažite na TRR"</f>
        <v>Znesek 56,03 EUR nakažite na TRR</v>
      </c>
      <c r="C40" s="61" t="str">
        <f>Podatki!B7</f>
        <v>SI56 1234 5678 9012 345</v>
      </c>
      <c r="D40" s="62"/>
      <c r="E40" s="23"/>
      <c r="F40" s="23"/>
      <c r="G40" s="11"/>
      <c r="H40" s="23"/>
      <c r="I40" s="14"/>
    </row>
    <row r="41" spans="1:9" ht="14.6" x14ac:dyDescent="0.4">
      <c r="B41" s="84" t="s">
        <v>11</v>
      </c>
      <c r="C41" s="61" t="str">
        <f>Podatki!B9</f>
        <v>Banka</v>
      </c>
      <c r="D41" s="63"/>
      <c r="E41" s="19"/>
      <c r="F41" s="11"/>
      <c r="G41" s="11"/>
      <c r="H41" s="11"/>
      <c r="I41" s="14"/>
    </row>
    <row r="42" spans="1:9" ht="14.6" x14ac:dyDescent="0.4">
      <c r="B42" s="84"/>
      <c r="C42" s="85"/>
      <c r="D42" s="53"/>
      <c r="E42" s="20"/>
      <c r="F42" s="2"/>
      <c r="G42" s="2"/>
      <c r="H42" s="2"/>
    </row>
    <row r="43" spans="1:9" ht="14.6" x14ac:dyDescent="0.4">
      <c r="B43" s="82" t="s">
        <v>12</v>
      </c>
      <c r="C43" s="64">
        <f>Podatki!B19</f>
        <v>42462</v>
      </c>
      <c r="D43" s="51"/>
      <c r="E43" s="2"/>
      <c r="F43" s="2"/>
      <c r="G43" s="2"/>
      <c r="H43" s="2"/>
    </row>
    <row r="44" spans="1:9" ht="14.6" x14ac:dyDescent="0.4">
      <c r="B44" s="86"/>
      <c r="C44" s="11"/>
      <c r="D44" s="51"/>
      <c r="E44" s="2"/>
      <c r="F44" s="2"/>
      <c r="G44" s="2"/>
      <c r="H44" s="2"/>
    </row>
    <row r="45" spans="1:9" ht="14.6" x14ac:dyDescent="0.4">
      <c r="B45" s="82" t="s">
        <v>13</v>
      </c>
      <c r="C45" s="87"/>
      <c r="D45" s="87"/>
      <c r="E45" s="2"/>
      <c r="F45" s="2"/>
      <c r="G45" s="2"/>
      <c r="H45" s="2"/>
    </row>
    <row r="46" spans="1:9" x14ac:dyDescent="0.35">
      <c r="B46" s="52"/>
      <c r="C46" s="52"/>
      <c r="D46" s="52"/>
    </row>
    <row r="47" spans="1:9" x14ac:dyDescent="0.35">
      <c r="B47" s="52"/>
      <c r="C47" s="52"/>
      <c r="D47" s="52"/>
    </row>
    <row r="48" spans="1:9" x14ac:dyDescent="0.35">
      <c r="B48" s="52" t="s">
        <v>14</v>
      </c>
      <c r="C48" s="52"/>
      <c r="D48" s="52"/>
    </row>
    <row r="49" spans="2:4" x14ac:dyDescent="0.35">
      <c r="B49" s="52"/>
      <c r="C49" s="52"/>
      <c r="D49" s="52"/>
    </row>
    <row r="50" spans="2:4" x14ac:dyDescent="0.35">
      <c r="B50" s="52"/>
      <c r="C50" s="52"/>
      <c r="D50" s="52"/>
    </row>
    <row r="64" spans="2:4" hidden="1" x14ac:dyDescent="0.35">
      <c r="B64" s="88"/>
    </row>
    <row r="65" spans="2:2" hidden="1" x14ac:dyDescent="0.35">
      <c r="B65" s="88"/>
    </row>
    <row r="66" spans="2:2" hidden="1" x14ac:dyDescent="0.35">
      <c r="B66" s="88"/>
    </row>
    <row r="67" spans="2:2" hidden="1" x14ac:dyDescent="0.35">
      <c r="B67" s="88"/>
    </row>
    <row r="68" spans="2:2" hidden="1" x14ac:dyDescent="0.35">
      <c r="B68" s="88"/>
    </row>
    <row r="69" spans="2:2" hidden="1" x14ac:dyDescent="0.35">
      <c r="B69" s="88"/>
    </row>
    <row r="70" spans="2:2" hidden="1" x14ac:dyDescent="0.35">
      <c r="B70" s="88"/>
    </row>
    <row r="71" spans="2:2" hidden="1" x14ac:dyDescent="0.35">
      <c r="B71" s="88"/>
    </row>
  </sheetData>
  <sheetProtection algorithmName="SHA-512" hashValue="sNa+hV4vdMjz6Aarw2/26sAkZ2XpSH0SZQWLDYp6VODWjDBA//COcxntKmpPJs6pUcu5nJqI/Jes4pMJTnWyLg==" saltValue="E4F0Fpb27rkVh3E8G9y2EA==" spinCount="100000" sheet="1" objects="1" scenarios="1" selectLockedCells="1"/>
  <mergeCells count="16">
    <mergeCell ref="C2:D2"/>
    <mergeCell ref="C3:D3"/>
    <mergeCell ref="C4:D4"/>
    <mergeCell ref="C5:D5"/>
    <mergeCell ref="B8:D8"/>
    <mergeCell ref="C21:D21"/>
    <mergeCell ref="C22:D22"/>
    <mergeCell ref="B9:D9"/>
    <mergeCell ref="B11:D11"/>
    <mergeCell ref="C14:D14"/>
    <mergeCell ref="C15:D15"/>
    <mergeCell ref="C17:D17"/>
    <mergeCell ref="C19:D19"/>
    <mergeCell ref="C20:D20"/>
    <mergeCell ref="B10:D10"/>
    <mergeCell ref="C16:D1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D69"/>
  <sheetViews>
    <sheetView topLeftCell="B13" zoomScale="80" zoomScaleNormal="80" workbookViewId="0">
      <selection activeCell="C23" sqref="C23"/>
    </sheetView>
  </sheetViews>
  <sheetFormatPr defaultColWidth="0" defaultRowHeight="12.9" zeroHeight="1" x14ac:dyDescent="0.35"/>
  <cols>
    <col min="1" max="1" width="3.69140625" style="3" customWidth="1"/>
    <col min="2" max="2" width="54.69140625" style="3" customWidth="1"/>
    <col min="3" max="3" width="39.3046875" style="3" customWidth="1"/>
    <col min="4" max="4" width="16.53515625" style="3" customWidth="1"/>
    <col min="5" max="16384" width="9.15234375" style="3" hidden="1"/>
  </cols>
  <sheetData>
    <row r="1" spans="1:4" x14ac:dyDescent="0.35">
      <c r="A1" s="14"/>
      <c r="B1" s="52"/>
      <c r="C1" s="52"/>
      <c r="D1" s="52"/>
    </row>
    <row r="2" spans="1:4" ht="15.9" x14ac:dyDescent="0.35">
      <c r="A2" s="14"/>
      <c r="B2" s="89" t="s">
        <v>0</v>
      </c>
      <c r="C2" s="123"/>
      <c r="D2" s="123"/>
    </row>
    <row r="3" spans="1:4" s="5" customFormat="1" ht="15.9" x14ac:dyDescent="0.4">
      <c r="A3" s="90"/>
      <c r="B3" s="91" t="s">
        <v>1</v>
      </c>
      <c r="C3" s="118" t="str">
        <f>Podatki!$B$15</f>
        <v>NK Celje</v>
      </c>
      <c r="D3" s="118"/>
    </row>
    <row r="4" spans="1:4" s="5" customFormat="1" ht="14.6" x14ac:dyDescent="0.4">
      <c r="A4" s="90"/>
      <c r="B4" s="91" t="s">
        <v>2</v>
      </c>
      <c r="C4" s="119" t="str">
        <f>VLOOKUP(C3,Šifranti!B2:D39,2,FALSE)</f>
        <v>Opekarniška cesta 15a, 3000 Celje</v>
      </c>
      <c r="D4" s="119"/>
    </row>
    <row r="5" spans="1:4" s="5" customFormat="1" ht="14.6" x14ac:dyDescent="0.4">
      <c r="A5" s="90"/>
      <c r="B5" s="91" t="s">
        <v>3</v>
      </c>
      <c r="C5" s="119" t="str">
        <f>VLOOKUP(C3,Šifranti!B2:D39,3,FALSE)</f>
        <v>SI12886068</v>
      </c>
      <c r="D5" s="119"/>
    </row>
    <row r="6" spans="1:4" s="43" customFormat="1" ht="14.6" x14ac:dyDescent="0.4">
      <c r="A6" s="52"/>
      <c r="B6" s="51"/>
      <c r="C6" s="51"/>
      <c r="D6" s="51"/>
    </row>
    <row r="7" spans="1:4" s="43" customFormat="1" ht="14.6" x14ac:dyDescent="0.4">
      <c r="A7" s="52"/>
      <c r="B7" s="51"/>
      <c r="C7" s="51"/>
      <c r="D7" s="51"/>
    </row>
    <row r="8" spans="1:4" ht="23.15" x14ac:dyDescent="0.6">
      <c r="A8" s="14"/>
      <c r="B8" s="120" t="s">
        <v>17</v>
      </c>
      <c r="C8" s="121"/>
      <c r="D8" s="122"/>
    </row>
    <row r="9" spans="1:4" ht="23.15" x14ac:dyDescent="0.6">
      <c r="A9" s="14"/>
      <c r="B9" s="108" t="s">
        <v>50</v>
      </c>
      <c r="C9" s="109"/>
      <c r="D9" s="110"/>
    </row>
    <row r="10" spans="1:4" ht="23.15" x14ac:dyDescent="0.6">
      <c r="A10" s="14"/>
      <c r="B10" s="113" t="s">
        <v>18</v>
      </c>
      <c r="C10" s="114"/>
      <c r="D10" s="115"/>
    </row>
    <row r="11" spans="1:4" s="43" customFormat="1" ht="14.6" x14ac:dyDescent="0.4">
      <c r="A11" s="52"/>
      <c r="B11" s="111"/>
      <c r="C11" s="111"/>
      <c r="D11" s="111"/>
    </row>
    <row r="12" spans="1:4" s="43" customFormat="1" ht="20.6" x14ac:dyDescent="0.55000000000000004">
      <c r="A12" s="52"/>
      <c r="B12" s="97" t="s">
        <v>145</v>
      </c>
      <c r="C12" s="98" t="str">
        <f>Podatki!B12</f>
        <v>Agado</v>
      </c>
      <c r="D12" s="80"/>
    </row>
    <row r="13" spans="1:4" s="43" customFormat="1" ht="14.6" x14ac:dyDescent="0.4">
      <c r="A13" s="52"/>
      <c r="B13" s="81"/>
      <c r="C13" s="81"/>
      <c r="D13" s="81"/>
    </row>
    <row r="14" spans="1:4" ht="14.6" x14ac:dyDescent="0.4">
      <c r="A14" s="14"/>
      <c r="B14" s="82" t="s">
        <v>52</v>
      </c>
      <c r="C14" s="112" t="str">
        <f>Podatki!B3</f>
        <v>Janez Vzorec</v>
      </c>
      <c r="D14" s="112"/>
    </row>
    <row r="15" spans="1:4" ht="14.6" x14ac:dyDescent="0.4">
      <c r="A15" s="14"/>
      <c r="B15" s="82" t="s">
        <v>53</v>
      </c>
      <c r="C15" s="112">
        <f>Podatki!B6</f>
        <v>12345678</v>
      </c>
      <c r="D15" s="112"/>
    </row>
    <row r="16" spans="1:4" ht="14.6" x14ac:dyDescent="0.4">
      <c r="A16" s="14"/>
      <c r="B16" s="82" t="s">
        <v>54</v>
      </c>
      <c r="C16" s="112" t="str">
        <f>Podatki!B4</f>
        <v>Janezova ulica 1</v>
      </c>
      <c r="D16" s="112"/>
    </row>
    <row r="17" spans="1:4" ht="14.6" x14ac:dyDescent="0.4">
      <c r="A17" s="14"/>
      <c r="B17" s="82"/>
      <c r="C17" s="93" t="str">
        <f>Podatki!B5</f>
        <v>3000 Celje</v>
      </c>
      <c r="D17" s="93"/>
    </row>
    <row r="18" spans="1:4" ht="14.6" x14ac:dyDescent="0.4">
      <c r="A18" s="14"/>
      <c r="B18" s="82" t="str">
        <f>"Obračun za tekmo " &amp; Podatki!B18 &amp; ":"</f>
        <v>Obračun za tekmo MČL:</v>
      </c>
      <c r="C18" s="112" t="str">
        <f>Podatki!B20 &amp; " : " &amp; Podatki!D20</f>
        <v>Ekipa 1 : Ekipa 2</v>
      </c>
      <c r="D18" s="112"/>
    </row>
    <row r="19" spans="1:4" ht="14.6" x14ac:dyDescent="0.4">
      <c r="A19" s="14"/>
      <c r="B19" s="82" t="s">
        <v>56</v>
      </c>
      <c r="C19" s="106">
        <f>Podatki!B19</f>
        <v>42462</v>
      </c>
      <c r="D19" s="106"/>
    </row>
    <row r="20" spans="1:4" ht="14.6" x14ac:dyDescent="0.4">
      <c r="A20" s="14"/>
      <c r="B20" s="82" t="s">
        <v>4</v>
      </c>
      <c r="C20" s="107" t="str">
        <f>"Stroški -" &amp;Podatki!B21</f>
        <v>Stroški -Glavni sodnik</v>
      </c>
      <c r="D20" s="107"/>
    </row>
    <row r="21" spans="1:4" s="43" customFormat="1" ht="14.6" x14ac:dyDescent="0.4">
      <c r="A21" s="52"/>
      <c r="B21" s="51"/>
      <c r="C21" s="51"/>
      <c r="D21" s="51"/>
    </row>
    <row r="22" spans="1:4" ht="14.6" x14ac:dyDescent="0.4">
      <c r="A22" s="14"/>
      <c r="B22" s="9" t="s">
        <v>77</v>
      </c>
      <c r="C22" s="10">
        <f>IF(Podatki!B26="DA",(Cenik!J6*0.7)/1.3925,IF(Podatki!B24="DA",(Cenik!J6*0.75)/1.3925,IF(AND(Podatki!B25="DA",Podatki!B21="Glavni sodnik"),Cenik!J6/(1.3925)+(Cenik!L2*0.4)/(1.411698),Cenik!J6/(1.3925))))</f>
        <v>59.605026929982046</v>
      </c>
      <c r="D22" s="51"/>
    </row>
    <row r="23" spans="1:4" ht="14.6" x14ac:dyDescent="0.4">
      <c r="A23" s="14"/>
      <c r="B23" s="11"/>
      <c r="C23" s="11"/>
      <c r="D23" s="51"/>
    </row>
    <row r="24" spans="1:4" ht="14.6" x14ac:dyDescent="0.35">
      <c r="A24" s="14"/>
      <c r="B24" s="99" t="s">
        <v>6</v>
      </c>
      <c r="C24" s="100" t="s">
        <v>7</v>
      </c>
      <c r="D24" s="52"/>
    </row>
    <row r="25" spans="1:4" ht="14.6" x14ac:dyDescent="0.4">
      <c r="A25" s="14"/>
      <c r="B25" s="15" t="s">
        <v>8</v>
      </c>
      <c r="C25" s="16">
        <f>C22</f>
        <v>59.605026929982046</v>
      </c>
      <c r="D25" s="51"/>
    </row>
    <row r="26" spans="1:4" ht="14.6" x14ac:dyDescent="0.4">
      <c r="A26" s="14"/>
      <c r="B26" s="15" t="s">
        <v>69</v>
      </c>
      <c r="C26" s="16">
        <f>ROUND(C25*0.9*0.155,2)</f>
        <v>8.31</v>
      </c>
      <c r="D26" s="51"/>
    </row>
    <row r="27" spans="1:4" ht="14.6" x14ac:dyDescent="0.4">
      <c r="A27" s="14"/>
      <c r="B27" s="15" t="s">
        <v>70</v>
      </c>
      <c r="C27" s="16">
        <f>ROUND(C25*0.9*0.0053,2)</f>
        <v>0.28000000000000003</v>
      </c>
      <c r="D27" s="51"/>
    </row>
    <row r="28" spans="1:4" ht="16.5" customHeight="1" x14ac:dyDescent="0.4">
      <c r="A28" s="14"/>
      <c r="B28" s="15" t="s">
        <v>71</v>
      </c>
      <c r="C28" s="16">
        <f>ROUND(C25*0.9*0.0636,2)</f>
        <v>3.41</v>
      </c>
      <c r="D28" s="51"/>
    </row>
    <row r="29" spans="1:4" ht="15.75" customHeight="1" x14ac:dyDescent="0.4">
      <c r="A29" s="14"/>
      <c r="B29" s="15" t="s">
        <v>72</v>
      </c>
      <c r="C29" s="16">
        <f>ROUND(C25*0.9*0.0885,2)</f>
        <v>4.75</v>
      </c>
      <c r="D29" s="51"/>
    </row>
    <row r="30" spans="1:4" ht="14.6" x14ac:dyDescent="0.4">
      <c r="A30" s="14"/>
      <c r="B30" s="15" t="s">
        <v>73</v>
      </c>
      <c r="C30" s="16">
        <f>ROUND(C22*0.16,2)</f>
        <v>9.5399999999999991</v>
      </c>
      <c r="D30" s="51"/>
    </row>
    <row r="31" spans="1:4" ht="14.6" x14ac:dyDescent="0.4">
      <c r="A31" s="14"/>
      <c r="B31" s="17" t="s">
        <v>74</v>
      </c>
      <c r="C31" s="16">
        <f>ROUND(C25*0.02,2)</f>
        <v>1.19</v>
      </c>
      <c r="D31" s="51"/>
    </row>
    <row r="32" spans="1:4" ht="14.6" x14ac:dyDescent="0.4">
      <c r="A32" s="14"/>
      <c r="B32" s="17" t="s">
        <v>75</v>
      </c>
      <c r="C32" s="16">
        <f>ROUND((C27+C28+C29+C30+C31)*0.22,2)</f>
        <v>4.22</v>
      </c>
      <c r="D32" s="51"/>
    </row>
    <row r="33" spans="1:4" ht="14.6" x14ac:dyDescent="0.4">
      <c r="A33" s="14"/>
      <c r="B33" s="35" t="s">
        <v>76</v>
      </c>
      <c r="C33" s="36">
        <f>C36+C26+C27+C28+C29+C30+C31</f>
        <v>78.775026929982033</v>
      </c>
      <c r="D33" s="51"/>
    </row>
    <row r="34" spans="1:4" ht="14.6" x14ac:dyDescent="0.4">
      <c r="A34" s="14"/>
      <c r="B34" s="18" t="s">
        <v>64</v>
      </c>
      <c r="C34" s="34">
        <f>C33+C32</f>
        <v>82.995026929982032</v>
      </c>
      <c r="D34" s="51"/>
    </row>
    <row r="35" spans="1:4" ht="14.6" x14ac:dyDescent="0.4">
      <c r="A35" s="14"/>
      <c r="B35" s="11"/>
      <c r="C35" s="11"/>
      <c r="D35" s="53"/>
    </row>
    <row r="36" spans="1:4" ht="14.6" x14ac:dyDescent="0.4">
      <c r="A36" s="92"/>
      <c r="B36" s="9" t="s">
        <v>78</v>
      </c>
      <c r="C36" s="22">
        <f>C25-C26</f>
        <v>51.295026929982043</v>
      </c>
      <c r="D36" s="54"/>
    </row>
    <row r="37" spans="1:4" ht="14.6" x14ac:dyDescent="0.4">
      <c r="A37" s="92"/>
      <c r="B37" s="26"/>
      <c r="C37" s="27"/>
      <c r="D37" s="54"/>
    </row>
    <row r="38" spans="1:4" ht="14.6" hidden="1" x14ac:dyDescent="0.4">
      <c r="A38" s="21"/>
      <c r="B38" s="37"/>
      <c r="C38" s="65"/>
      <c r="D38" s="66"/>
    </row>
    <row r="39" spans="1:4" ht="14.6" hidden="1" x14ac:dyDescent="0.4">
      <c r="B39" s="38"/>
      <c r="C39" s="65"/>
      <c r="D39" s="53"/>
    </row>
    <row r="40" spans="1:4" ht="14.6" hidden="1" x14ac:dyDescent="0.4">
      <c r="B40" s="38"/>
      <c r="C40" s="39"/>
      <c r="D40" s="40"/>
    </row>
    <row r="41" spans="1:4" ht="14.6" hidden="1" x14ac:dyDescent="0.4">
      <c r="B41" s="37"/>
      <c r="C41" s="67"/>
      <c r="D41" s="41"/>
    </row>
    <row r="42" spans="1:4" ht="14.6" hidden="1" x14ac:dyDescent="0.4">
      <c r="B42" s="42"/>
      <c r="C42" s="41"/>
      <c r="D42" s="41"/>
    </row>
    <row r="43" spans="1:4" ht="14.6" hidden="1" x14ac:dyDescent="0.4">
      <c r="B43" s="37"/>
      <c r="C43" s="41"/>
      <c r="D43" s="41"/>
    </row>
    <row r="44" spans="1:4" hidden="1" x14ac:dyDescent="0.35">
      <c r="B44" s="43"/>
      <c r="C44" s="43"/>
      <c r="D44" s="43"/>
    </row>
    <row r="45" spans="1:4" hidden="1" x14ac:dyDescent="0.35">
      <c r="B45" s="43"/>
      <c r="C45" s="43"/>
      <c r="D45" s="43"/>
    </row>
    <row r="46" spans="1:4" hidden="1" x14ac:dyDescent="0.35">
      <c r="B46" s="43"/>
      <c r="C46" s="43"/>
      <c r="D46" s="43"/>
    </row>
    <row r="47" spans="1:4" hidden="1" x14ac:dyDescent="0.35">
      <c r="B47" s="43"/>
      <c r="C47" s="43"/>
      <c r="D47" s="43"/>
    </row>
    <row r="48" spans="1:4" hidden="1" x14ac:dyDescent="0.35">
      <c r="B48" s="43"/>
      <c r="C48" s="43"/>
      <c r="D48" s="43"/>
    </row>
    <row r="49" spans="2:4" hidden="1" x14ac:dyDescent="0.35">
      <c r="B49" s="43"/>
      <c r="C49" s="43"/>
      <c r="D49" s="43"/>
    </row>
    <row r="50" spans="2:4" hidden="1" x14ac:dyDescent="0.35">
      <c r="B50" s="43"/>
      <c r="C50" s="43"/>
      <c r="D50" s="43"/>
    </row>
    <row r="62" spans="2:4" hidden="1" x14ac:dyDescent="0.35">
      <c r="B62" s="28"/>
    </row>
    <row r="63" spans="2:4" hidden="1" x14ac:dyDescent="0.35">
      <c r="B63" s="28"/>
    </row>
    <row r="64" spans="2:4" hidden="1" x14ac:dyDescent="0.35">
      <c r="B64" s="28"/>
    </row>
    <row r="65" spans="2:2" hidden="1" x14ac:dyDescent="0.35">
      <c r="B65" s="28"/>
    </row>
    <row r="66" spans="2:2" hidden="1" x14ac:dyDescent="0.35">
      <c r="B66" s="28"/>
    </row>
    <row r="67" spans="2:2" hidden="1" x14ac:dyDescent="0.35">
      <c r="B67" s="28"/>
    </row>
    <row r="68" spans="2:2" hidden="1" x14ac:dyDescent="0.35">
      <c r="B68" s="28"/>
    </row>
    <row r="69" spans="2:2" hidden="1" x14ac:dyDescent="0.35">
      <c r="B69" s="28"/>
    </row>
  </sheetData>
  <sheetProtection algorithmName="SHA-512" hashValue="WdUzkmjK+xWwAxAe0y4AS8/upw15QHskCgIqRMhGSwXMQLu/7tPBnfbtOYWA8+yxJWYuCoRU/jBVVVhkDlJ8zg==" saltValue="n/cEdxKsUbjISnev21A8aQ==" spinCount="100000" sheet="1" selectLockedCells="1"/>
  <mergeCells count="14">
    <mergeCell ref="C18:D18"/>
    <mergeCell ref="C19:D19"/>
    <mergeCell ref="C20:D20"/>
    <mergeCell ref="B10:D10"/>
    <mergeCell ref="B11:D11"/>
    <mergeCell ref="C14:D14"/>
    <mergeCell ref="C15:D15"/>
    <mergeCell ref="C16:D16"/>
    <mergeCell ref="B9:D9"/>
    <mergeCell ref="C2:D2"/>
    <mergeCell ref="C3:D3"/>
    <mergeCell ref="C4:D4"/>
    <mergeCell ref="C5:D5"/>
    <mergeCell ref="B8:D8"/>
  </mergeCell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1"/>
  <dimension ref="A1:L15"/>
  <sheetViews>
    <sheetView zoomScaleNormal="100" workbookViewId="0">
      <selection activeCell="D14" sqref="D14"/>
    </sheetView>
  </sheetViews>
  <sheetFormatPr defaultColWidth="0" defaultRowHeight="14.6" zeroHeight="1" x14ac:dyDescent="0.4"/>
  <cols>
    <col min="1" max="1" width="9.15234375" style="29" customWidth="1"/>
    <col min="2" max="2" width="13.53515625" style="29" customWidth="1"/>
    <col min="3" max="3" width="10.84375" style="29" customWidth="1"/>
    <col min="4" max="4" width="10.3828125" style="29" customWidth="1"/>
    <col min="5" max="9" width="0" style="29" hidden="1" customWidth="1"/>
    <col min="10" max="10" width="5.84375" style="29" customWidth="1"/>
    <col min="11" max="11" width="3.84375" style="29" customWidth="1"/>
    <col min="12" max="12" width="2.53515625" style="29" customWidth="1"/>
    <col min="13" max="16384" width="9.15234375" hidden="1"/>
  </cols>
  <sheetData>
    <row r="1" spans="1:12" ht="34.5" customHeight="1" x14ac:dyDescent="0.4">
      <c r="A1" s="124" t="s">
        <v>89</v>
      </c>
      <c r="B1" s="124"/>
      <c r="C1" s="124"/>
      <c r="D1" s="124"/>
    </row>
    <row r="2" spans="1:12" s="33" customFormat="1" x14ac:dyDescent="0.4">
      <c r="A2" s="30"/>
      <c r="B2" s="30" t="s">
        <v>46</v>
      </c>
      <c r="C2" s="30" t="s">
        <v>58</v>
      </c>
      <c r="D2" s="30" t="s">
        <v>15</v>
      </c>
      <c r="E2" s="29"/>
      <c r="F2" s="29"/>
      <c r="G2" s="29"/>
      <c r="H2" s="29"/>
      <c r="I2" s="29"/>
      <c r="J2" s="32">
        <f>VLOOKUP(Podatki!$B$18,Cenik!$A$3:$D$14,2,FALSE)</f>
        <v>83</v>
      </c>
      <c r="K2" s="32">
        <f>VLOOKUP(Podatki!$B$18,Cenik!$A$3:$D$14,3,FALSE)</f>
        <v>62</v>
      </c>
      <c r="L2" s="32">
        <f>VLOOKUP(Podatki!$B$18,Cenik!$A$3:$D$14,4,FALSE)</f>
        <v>60</v>
      </c>
    </row>
    <row r="3" spans="1:12" s="33" customFormat="1" x14ac:dyDescent="0.4">
      <c r="A3" s="30" t="s">
        <v>23</v>
      </c>
      <c r="B3" s="31">
        <v>83</v>
      </c>
      <c r="C3" s="31">
        <v>62</v>
      </c>
      <c r="D3" s="31">
        <v>60</v>
      </c>
      <c r="E3" s="29"/>
      <c r="F3" s="29"/>
      <c r="G3" s="29"/>
      <c r="H3" s="29"/>
      <c r="I3" s="29"/>
      <c r="J3" s="32"/>
      <c r="K3" s="32"/>
      <c r="L3" s="32"/>
    </row>
    <row r="4" spans="1:12" s="33" customFormat="1" x14ac:dyDescent="0.4">
      <c r="A4" s="30" t="s">
        <v>68</v>
      </c>
      <c r="B4" s="31">
        <v>51</v>
      </c>
      <c r="C4" s="31"/>
      <c r="D4" s="31"/>
      <c r="E4" s="29"/>
      <c r="F4" s="29"/>
      <c r="G4" s="29"/>
      <c r="H4" s="29"/>
      <c r="I4" s="29"/>
      <c r="J4" s="32"/>
      <c r="K4" s="32"/>
      <c r="L4" s="32"/>
    </row>
    <row r="5" spans="1:12" x14ac:dyDescent="0.4">
      <c r="A5" s="30" t="s">
        <v>24</v>
      </c>
      <c r="B5" s="31">
        <v>60</v>
      </c>
      <c r="C5" s="31">
        <v>42</v>
      </c>
      <c r="D5" s="31"/>
      <c r="J5" s="32"/>
      <c r="K5" s="32"/>
      <c r="L5" s="32"/>
    </row>
    <row r="6" spans="1:12" x14ac:dyDescent="0.4">
      <c r="A6" s="30" t="s">
        <v>25</v>
      </c>
      <c r="B6" s="31">
        <v>59</v>
      </c>
      <c r="C6" s="31"/>
      <c r="D6" s="31"/>
      <c r="J6" s="32">
        <f>IF(Podatki!B21="Glavni sodnik",Cenik!J2,IF(Podatki!B21="Pomočnik sodnika",K2,L2))</f>
        <v>83</v>
      </c>
      <c r="K6" s="32"/>
      <c r="L6" s="32"/>
    </row>
    <row r="7" spans="1:12" x14ac:dyDescent="0.4">
      <c r="A7" s="30" t="s">
        <v>26</v>
      </c>
      <c r="B7" s="31">
        <v>50</v>
      </c>
      <c r="C7" s="31"/>
      <c r="D7" s="31"/>
    </row>
    <row r="8" spans="1:12" x14ac:dyDescent="0.4">
      <c r="A8" s="30" t="s">
        <v>27</v>
      </c>
      <c r="B8" s="31">
        <v>50</v>
      </c>
      <c r="C8" s="31"/>
      <c r="D8" s="31"/>
    </row>
    <row r="9" spans="1:12" x14ac:dyDescent="0.4">
      <c r="A9" s="30" t="s">
        <v>28</v>
      </c>
      <c r="B9" s="31">
        <v>44</v>
      </c>
      <c r="C9" s="31"/>
      <c r="D9" s="31"/>
    </row>
    <row r="10" spans="1:12" x14ac:dyDescent="0.4">
      <c r="A10" s="30" t="s">
        <v>29</v>
      </c>
      <c r="B10" s="31">
        <v>44</v>
      </c>
      <c r="C10" s="31"/>
      <c r="D10" s="31"/>
    </row>
    <row r="11" spans="1:12" x14ac:dyDescent="0.4">
      <c r="A11" s="30" t="s">
        <v>30</v>
      </c>
      <c r="B11" s="31">
        <v>44</v>
      </c>
      <c r="C11" s="31"/>
      <c r="D11" s="31"/>
    </row>
    <row r="12" spans="1:12" x14ac:dyDescent="0.4">
      <c r="A12" s="30" t="s">
        <v>134</v>
      </c>
      <c r="B12" s="31">
        <v>44</v>
      </c>
      <c r="C12" s="31"/>
      <c r="D12" s="31"/>
    </row>
    <row r="13" spans="1:12" x14ac:dyDescent="0.4">
      <c r="A13" s="30" t="s">
        <v>32</v>
      </c>
      <c r="B13" s="31">
        <v>83</v>
      </c>
      <c r="C13" s="31">
        <v>62</v>
      </c>
      <c r="D13" s="31">
        <v>60</v>
      </c>
    </row>
    <row r="14" spans="1:12" x14ac:dyDescent="0.4">
      <c r="A14" s="30" t="s">
        <v>33</v>
      </c>
      <c r="B14" s="31">
        <v>60</v>
      </c>
      <c r="C14" s="31">
        <v>42</v>
      </c>
      <c r="D14" s="31">
        <v>42</v>
      </c>
    </row>
    <row r="15" spans="1:12" x14ac:dyDescent="0.4"/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/>
  <dimension ref="A1:T31"/>
  <sheetViews>
    <sheetView topLeftCell="B13" workbookViewId="0">
      <selection activeCell="D29" sqref="D29"/>
    </sheetView>
  </sheetViews>
  <sheetFormatPr defaultRowHeight="14.6" x14ac:dyDescent="0.4"/>
  <cols>
    <col min="2" max="2" width="20.84375" bestFit="1" customWidth="1"/>
    <col min="3" max="3" width="43.15234375" bestFit="1" customWidth="1"/>
    <col min="4" max="4" width="10.15234375" bestFit="1" customWidth="1"/>
  </cols>
  <sheetData>
    <row r="1" spans="1:20" ht="23.15" x14ac:dyDescent="0.6">
      <c r="A1" s="69" t="s">
        <v>84</v>
      </c>
      <c r="J1" t="s">
        <v>85</v>
      </c>
      <c r="M1" t="s">
        <v>86</v>
      </c>
      <c r="P1" t="s">
        <v>87</v>
      </c>
      <c r="T1" t="s">
        <v>88</v>
      </c>
    </row>
    <row r="2" spans="1:20" x14ac:dyDescent="0.4">
      <c r="B2" s="70" t="s">
        <v>148</v>
      </c>
      <c r="C2" s="70" t="s">
        <v>90</v>
      </c>
      <c r="D2" s="70" t="s">
        <v>164</v>
      </c>
      <c r="J2" t="s">
        <v>23</v>
      </c>
      <c r="M2" t="s">
        <v>40</v>
      </c>
      <c r="P2" t="s">
        <v>46</v>
      </c>
      <c r="T2" t="s">
        <v>49</v>
      </c>
    </row>
    <row r="3" spans="1:20" x14ac:dyDescent="0.4">
      <c r="B3" s="70" t="s">
        <v>149</v>
      </c>
      <c r="C3" s="70" t="s">
        <v>91</v>
      </c>
      <c r="D3" s="70" t="s">
        <v>163</v>
      </c>
      <c r="J3" t="s">
        <v>24</v>
      </c>
      <c r="M3" t="s">
        <v>41</v>
      </c>
      <c r="P3" t="s">
        <v>47</v>
      </c>
      <c r="T3" t="s">
        <v>50</v>
      </c>
    </row>
    <row r="4" spans="1:20" x14ac:dyDescent="0.4">
      <c r="B4" s="70" t="s">
        <v>92</v>
      </c>
      <c r="C4" s="70" t="s">
        <v>93</v>
      </c>
      <c r="D4" s="70" t="s">
        <v>165</v>
      </c>
      <c r="J4" t="s">
        <v>25</v>
      </c>
      <c r="P4" t="s">
        <v>15</v>
      </c>
    </row>
    <row r="5" spans="1:20" x14ac:dyDescent="0.4">
      <c r="B5" s="70" t="s">
        <v>150</v>
      </c>
      <c r="C5" s="70" t="s">
        <v>94</v>
      </c>
      <c r="D5" s="70">
        <v>47603143</v>
      </c>
      <c r="J5" t="s">
        <v>26</v>
      </c>
    </row>
    <row r="6" spans="1:20" x14ac:dyDescent="0.4">
      <c r="B6" s="70" t="s">
        <v>151</v>
      </c>
      <c r="C6" s="70" t="s">
        <v>95</v>
      </c>
      <c r="D6" s="70">
        <v>98320343</v>
      </c>
      <c r="J6" t="s">
        <v>27</v>
      </c>
    </row>
    <row r="7" spans="1:20" x14ac:dyDescent="0.4">
      <c r="B7" s="70" t="s">
        <v>152</v>
      </c>
      <c r="C7" s="70" t="s">
        <v>96</v>
      </c>
      <c r="D7" s="70">
        <v>16345592</v>
      </c>
      <c r="J7" t="s">
        <v>28</v>
      </c>
    </row>
    <row r="8" spans="1:20" x14ac:dyDescent="0.4">
      <c r="B8" s="70" t="s">
        <v>97</v>
      </c>
      <c r="C8" s="70" t="s">
        <v>98</v>
      </c>
      <c r="D8" s="70">
        <v>23905727</v>
      </c>
      <c r="J8" t="s">
        <v>29</v>
      </c>
    </row>
    <row r="9" spans="1:20" x14ac:dyDescent="0.4">
      <c r="B9" s="70" t="s">
        <v>153</v>
      </c>
      <c r="C9" s="70" t="s">
        <v>99</v>
      </c>
      <c r="D9" s="70">
        <v>76355551</v>
      </c>
      <c r="J9" t="s">
        <v>30</v>
      </c>
      <c r="O9" t="s">
        <v>83</v>
      </c>
    </row>
    <row r="10" spans="1:20" x14ac:dyDescent="0.4">
      <c r="B10" s="70" t="s">
        <v>154</v>
      </c>
      <c r="C10" s="70" t="s">
        <v>100</v>
      </c>
      <c r="D10" s="70" t="s">
        <v>166</v>
      </c>
      <c r="J10" t="s">
        <v>134</v>
      </c>
      <c r="O10" t="s">
        <v>82</v>
      </c>
    </row>
    <row r="11" spans="1:20" x14ac:dyDescent="0.4">
      <c r="B11" s="70" t="s">
        <v>139</v>
      </c>
      <c r="C11" s="70" t="s">
        <v>101</v>
      </c>
      <c r="D11" s="70" t="s">
        <v>167</v>
      </c>
      <c r="J11" t="s">
        <v>32</v>
      </c>
    </row>
    <row r="12" spans="1:20" x14ac:dyDescent="0.4">
      <c r="B12" s="70" t="s">
        <v>102</v>
      </c>
      <c r="C12" s="70" t="s">
        <v>103</v>
      </c>
      <c r="D12" s="70">
        <v>39399761</v>
      </c>
      <c r="J12" t="s">
        <v>33</v>
      </c>
    </row>
    <row r="13" spans="1:20" x14ac:dyDescent="0.4">
      <c r="B13" s="70" t="s">
        <v>168</v>
      </c>
      <c r="C13" s="70" t="s">
        <v>104</v>
      </c>
      <c r="D13" s="70">
        <v>47678453</v>
      </c>
    </row>
    <row r="14" spans="1:20" x14ac:dyDescent="0.4">
      <c r="B14" s="70" t="s">
        <v>155</v>
      </c>
      <c r="C14" s="70" t="s">
        <v>105</v>
      </c>
      <c r="D14" s="70">
        <v>76718336</v>
      </c>
    </row>
    <row r="15" spans="1:20" x14ac:dyDescent="0.4">
      <c r="B15" s="70" t="s">
        <v>156</v>
      </c>
      <c r="C15" s="70" t="s">
        <v>106</v>
      </c>
      <c r="D15" s="70">
        <v>81587562</v>
      </c>
    </row>
    <row r="16" spans="1:20" x14ac:dyDescent="0.4">
      <c r="B16" s="70" t="s">
        <v>157</v>
      </c>
      <c r="C16" s="70" t="s">
        <v>107</v>
      </c>
      <c r="D16" s="70">
        <v>70971765</v>
      </c>
    </row>
    <row r="17" spans="2:4" x14ac:dyDescent="0.4">
      <c r="B17" s="70" t="s">
        <v>158</v>
      </c>
      <c r="C17" s="70" t="s">
        <v>108</v>
      </c>
      <c r="D17" s="70">
        <v>88738582</v>
      </c>
    </row>
    <row r="18" spans="2:4" x14ac:dyDescent="0.4">
      <c r="B18" s="70" t="s">
        <v>159</v>
      </c>
      <c r="C18" s="70" t="s">
        <v>109</v>
      </c>
      <c r="D18" s="70" t="s">
        <v>169</v>
      </c>
    </row>
    <row r="19" spans="2:4" x14ac:dyDescent="0.4">
      <c r="B19" s="68" t="s">
        <v>130</v>
      </c>
      <c r="C19" s="68" t="s">
        <v>136</v>
      </c>
      <c r="D19" s="68" t="s">
        <v>131</v>
      </c>
    </row>
    <row r="20" spans="2:4" x14ac:dyDescent="0.4">
      <c r="B20" s="68" t="s">
        <v>137</v>
      </c>
      <c r="C20" s="68" t="s">
        <v>138</v>
      </c>
      <c r="D20" s="68">
        <v>43124771</v>
      </c>
    </row>
    <row r="21" spans="2:4" x14ac:dyDescent="0.4">
      <c r="B21" s="70" t="s">
        <v>160</v>
      </c>
      <c r="C21" s="70" t="s">
        <v>110</v>
      </c>
      <c r="D21" s="70">
        <v>56537590</v>
      </c>
    </row>
    <row r="22" spans="2:4" x14ac:dyDescent="0.4">
      <c r="B22" s="70" t="s">
        <v>147</v>
      </c>
      <c r="C22" s="70" t="s">
        <v>111</v>
      </c>
      <c r="D22" s="70">
        <v>27319962</v>
      </c>
    </row>
    <row r="23" spans="2:4" x14ac:dyDescent="0.4">
      <c r="B23" s="70" t="s">
        <v>161</v>
      </c>
      <c r="C23" s="70" t="s">
        <v>135</v>
      </c>
      <c r="D23" s="70" t="s">
        <v>170</v>
      </c>
    </row>
    <row r="24" spans="2:4" x14ac:dyDescent="0.4">
      <c r="B24" s="70" t="s">
        <v>112</v>
      </c>
      <c r="C24" s="70" t="s">
        <v>113</v>
      </c>
      <c r="D24" s="70">
        <v>32004958</v>
      </c>
    </row>
    <row r="25" spans="2:4" x14ac:dyDescent="0.4">
      <c r="B25" s="70" t="s">
        <v>114</v>
      </c>
      <c r="C25" s="70" t="s">
        <v>144</v>
      </c>
      <c r="D25" s="70">
        <v>95406611</v>
      </c>
    </row>
    <row r="26" spans="2:4" x14ac:dyDescent="0.4">
      <c r="B26" s="70" t="s">
        <v>162</v>
      </c>
      <c r="C26" s="70" t="s">
        <v>115</v>
      </c>
      <c r="D26" s="70">
        <v>82027463</v>
      </c>
    </row>
    <row r="27" spans="2:4" x14ac:dyDescent="0.4">
      <c r="B27" s="70" t="s">
        <v>116</v>
      </c>
      <c r="C27" s="70" t="s">
        <v>117</v>
      </c>
      <c r="D27" s="70">
        <v>90383524</v>
      </c>
    </row>
    <row r="28" spans="2:4" x14ac:dyDescent="0.4">
      <c r="B28" s="70" t="s">
        <v>118</v>
      </c>
      <c r="C28" s="70" t="s">
        <v>119</v>
      </c>
      <c r="D28" s="70" t="s">
        <v>171</v>
      </c>
    </row>
    <row r="29" spans="2:4" x14ac:dyDescent="0.4">
      <c r="B29" s="68" t="s">
        <v>132</v>
      </c>
      <c r="C29" s="68" t="s">
        <v>133</v>
      </c>
      <c r="D29" s="68">
        <v>97752282</v>
      </c>
    </row>
    <row r="30" spans="2:4" x14ac:dyDescent="0.4">
      <c r="B30" s="68" t="s">
        <v>140</v>
      </c>
      <c r="C30" s="68" t="s">
        <v>141</v>
      </c>
      <c r="D30" s="68">
        <v>95025715</v>
      </c>
    </row>
    <row r="31" spans="2:4" x14ac:dyDescent="0.4">
      <c r="B31" s="68" t="s">
        <v>142</v>
      </c>
      <c r="C31" s="68" t="s">
        <v>143</v>
      </c>
      <c r="D31" s="68">
        <v>72332271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/>
  <dimension ref="A1"/>
  <sheetViews>
    <sheetView workbookViewId="0">
      <selection activeCell="I5" sqref="I5"/>
    </sheetView>
  </sheetViews>
  <sheetFormatPr defaultRowHeight="14.6" x14ac:dyDescent="0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10</vt:i4>
      </vt:variant>
    </vt:vector>
  </HeadingPairs>
  <TitlesOfParts>
    <vt:vector size="17" baseType="lpstr">
      <vt:lpstr>Podatki</vt:lpstr>
      <vt:lpstr>Podjemna pogodba</vt:lpstr>
      <vt:lpstr>Študentsko delo</vt:lpstr>
      <vt:lpstr>Cenik</vt:lpstr>
      <vt:lpstr>Šifranti</vt:lpstr>
      <vt:lpstr>List1</vt:lpstr>
      <vt:lpstr>List2</vt:lpstr>
      <vt:lpstr>dane.</vt:lpstr>
      <vt:lpstr>delo.</vt:lpstr>
      <vt:lpstr>klubi</vt:lpstr>
      <vt:lpstr>klubi.</vt:lpstr>
      <vt:lpstr>lige.</vt:lpstr>
      <vt:lpstr>Podatki!Področje_tiskanja</vt:lpstr>
      <vt:lpstr>'Podjemna pogodba'!Področje_tiskanja</vt:lpstr>
      <vt:lpstr>'Študentsko delo'!Področje_tiskanja</vt:lpstr>
      <vt:lpstr>status.</vt:lpstr>
      <vt:lpstr>uradna.</vt:lpstr>
    </vt:vector>
  </TitlesOfParts>
  <Company>Policija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</dc:creator>
  <cp:lastModifiedBy>Andrej NARAT</cp:lastModifiedBy>
  <cp:lastPrinted>2016-10-19T10:19:38Z</cp:lastPrinted>
  <dcterms:created xsi:type="dcterms:W3CDTF">2016-04-02T12:09:43Z</dcterms:created>
  <dcterms:modified xsi:type="dcterms:W3CDTF">2024-04-19T05:10:51Z</dcterms:modified>
</cp:coreProperties>
</file>